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<sst xmlns="http://schemas.openxmlformats.org/spreadsheetml/2006/main" count="45" uniqueCount="42">
  <si>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</si>
  <si>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</si>
  <si>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</si>
  <si>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</si>
  <si>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</si>
  <si>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</si>
  <si>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</si>
  <si>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</si>
  <si>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</si>
  <si>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</si>
  <si>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</si>
  <si>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</si>
  <si>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</si>
  <si>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</si>
  <si>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</si>
  <si>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</si>
  <si>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</si>
  <si>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</si>
  <si>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</si>
  <si>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</si>
  <si>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</si>
  <si>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t>http://socsfera.narod.ru/xls/f507_2012.xls</t>
  </si>
  <si>
    <r>
      <t>Группа 507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</si>
  <si>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Баран Михаил</t>
  </si>
  <si>
    <t>Герасимова Мария</t>
  </si>
  <si>
    <t>Исмаилов Ахмед</t>
  </si>
  <si>
    <t>Кагановская Кристина</t>
  </si>
  <si>
    <t>Киселев Андрей</t>
  </si>
  <si>
    <t>Ковтун Елена</t>
  </si>
  <si>
    <t>Крылова Александра</t>
  </si>
  <si>
    <t>Метёлкин Виктор</t>
  </si>
  <si>
    <t>Мкртчян Татевик</t>
  </si>
  <si>
    <t>Сидорович Лиза</t>
  </si>
  <si>
    <t>Хасандинов Радамир</t>
  </si>
  <si>
    <t>Чернышова Лиза</t>
  </si>
  <si>
    <t>Чипизубов Иван</t>
  </si>
  <si>
    <t>iНовикова Мила</t>
  </si>
  <si>
    <t>iДорина Анастасия</t>
  </si>
  <si>
    <t>vgna-fo307@rambler.ru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</si>
  <si>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(max=8*4=32)</t>
    </r>
  </si>
  <si>
    <t>ув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</si>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</sst>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 Cyr"/>
      <family val="0"/>
    </font>
    <font>
      <sz val="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vertical="top" wrapText="1"/>
    </xf>
    <xf numFmtId="164" fontId="1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6" fillId="33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0" fontId="17" fillId="33" borderId="10" xfId="0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1" fontId="17" fillId="33" borderId="10" xfId="0" applyNumberFormat="1" applyFont="1" applyFill="1" applyBorder="1" applyAlignment="1">
      <alignment horizontal="right"/>
    </xf>
    <xf numFmtId="2" fontId="17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07_2012.xls" TargetMode="External" /><Relationship Id="rId2" Type="http://schemas.openxmlformats.org/officeDocument/2006/relationships/hyperlink" Target="mailto:vgna-fo307@rambler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2" sqref="AF12"/>
    </sheetView>
  </sheetViews>
  <sheetFormatPr defaultColWidth="9.00390625" defaultRowHeight="12.75"/>
  <cols>
    <col min="1" max="1" width="3.625" style="0" customWidth="1"/>
    <col min="2" max="2" width="22.00390625" style="0" customWidth="1"/>
    <col min="3" max="4" width="2.50390625" style="0" customWidth="1"/>
    <col min="5" max="5" width="2.375" style="0" hidden="1" customWidth="1"/>
    <col min="6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22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14</v>
      </c>
      <c r="AH1" s="13">
        <f>$AA$1*0.75</f>
        <v>63</v>
      </c>
      <c r="AI1" s="12"/>
      <c r="AJ1" s="14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</row>
    <row r="2" spans="1:249" ht="12.75" customHeight="1">
      <c r="A2" s="2"/>
      <c r="B2" s="2"/>
      <c r="C2" s="72" t="s">
        <v>15</v>
      </c>
      <c r="D2" s="73"/>
      <c r="E2" s="74"/>
      <c r="F2" s="74"/>
      <c r="G2" s="75"/>
      <c r="H2" s="72" t="s">
        <v>16</v>
      </c>
      <c r="I2" s="73"/>
      <c r="J2" s="73"/>
      <c r="K2" s="73"/>
      <c r="L2" s="78"/>
      <c r="M2" s="72" t="s">
        <v>17</v>
      </c>
      <c r="N2" s="73"/>
      <c r="O2" s="73"/>
      <c r="P2" s="73"/>
      <c r="Q2" s="78"/>
      <c r="R2" s="72" t="s">
        <v>18</v>
      </c>
      <c r="S2" s="73"/>
      <c r="T2" s="73"/>
      <c r="U2" s="74"/>
      <c r="V2" s="79" t="s">
        <v>39</v>
      </c>
      <c r="W2" s="65" t="s">
        <v>7</v>
      </c>
      <c r="X2" s="66"/>
      <c r="Y2" s="66"/>
      <c r="Z2" s="66"/>
      <c r="AA2" s="67"/>
      <c r="AB2" s="3"/>
      <c r="AC2" s="76" t="s">
        <v>2</v>
      </c>
      <c r="AD2" s="66"/>
      <c r="AE2" s="66"/>
      <c r="AF2" s="66"/>
      <c r="AG2" s="77"/>
      <c r="AH2" s="81" t="s">
        <v>9</v>
      </c>
      <c r="AI2" s="68" t="s">
        <v>19</v>
      </c>
      <c r="AJ2" s="69" t="s">
        <v>11</v>
      </c>
      <c r="AK2" s="70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</row>
    <row r="3" spans="1:249" ht="74.25" customHeight="1">
      <c r="A3" s="46"/>
      <c r="B3" s="46" t="s">
        <v>0</v>
      </c>
      <c r="C3" s="47">
        <v>4</v>
      </c>
      <c r="D3" s="7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80"/>
      <c r="W3" s="9" t="s">
        <v>4</v>
      </c>
      <c r="X3" s="4" t="s">
        <v>8</v>
      </c>
      <c r="Y3" s="9" t="s">
        <v>4</v>
      </c>
      <c r="Z3" s="4" t="s">
        <v>8</v>
      </c>
      <c r="AA3" s="8" t="s">
        <v>10</v>
      </c>
      <c r="AB3" s="8" t="s">
        <v>20</v>
      </c>
      <c r="AC3" s="4" t="s">
        <v>3</v>
      </c>
      <c r="AD3" s="4" t="s">
        <v>13</v>
      </c>
      <c r="AE3" s="4" t="s">
        <v>1</v>
      </c>
      <c r="AF3" s="17" t="s">
        <v>41</v>
      </c>
      <c r="AG3" s="8" t="s">
        <v>10</v>
      </c>
      <c r="AH3" s="82"/>
      <c r="AI3" s="68"/>
      <c r="AJ3" s="71"/>
      <c r="AK3" s="70"/>
      <c r="AL3" s="19" t="s">
        <v>12</v>
      </c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</row>
    <row r="4" spans="1:249" ht="12.75">
      <c r="A4" s="2">
        <v>1</v>
      </c>
      <c r="B4" s="48" t="s">
        <v>23</v>
      </c>
      <c r="C4" s="56"/>
      <c r="D4" s="57"/>
      <c r="E4" s="56"/>
      <c r="F4" s="56"/>
      <c r="G4" s="56"/>
      <c r="H4" s="56"/>
      <c r="I4" s="57">
        <v>4</v>
      </c>
      <c r="J4" s="56"/>
      <c r="K4" s="56"/>
      <c r="L4" s="56">
        <v>4</v>
      </c>
      <c r="M4" s="56"/>
      <c r="N4" s="56">
        <v>4</v>
      </c>
      <c r="O4" s="56"/>
      <c r="P4" s="56">
        <v>2</v>
      </c>
      <c r="Q4" s="56"/>
      <c r="R4" s="56"/>
      <c r="S4" s="56">
        <v>4</v>
      </c>
      <c r="T4" s="56"/>
      <c r="U4" s="56"/>
      <c r="V4" s="56">
        <f aca="true" t="shared" si="0" ref="V4:V33">SUM(C4:U4)</f>
        <v>18</v>
      </c>
      <c r="W4" s="58">
        <v>18</v>
      </c>
      <c r="X4" s="56"/>
      <c r="Y4" s="58"/>
      <c r="Z4" s="56"/>
      <c r="AA4" s="56">
        <f>SUM(Z4+X4)</f>
        <v>0</v>
      </c>
      <c r="AB4" s="59"/>
      <c r="AC4" s="56">
        <f>2+2+2</f>
        <v>6</v>
      </c>
      <c r="AD4" s="56">
        <v>3.5</v>
      </c>
      <c r="AE4" s="2"/>
      <c r="AF4" s="53">
        <v>-27.5</v>
      </c>
      <c r="AG4" s="2">
        <f>SUM(AC4:AD4)</f>
        <v>9.5</v>
      </c>
      <c r="AH4" s="2"/>
      <c r="AI4" s="6">
        <f>V4+AA4+AB4+AG4+AH4+AF4</f>
        <v>0</v>
      </c>
      <c r="AJ4" t="str">
        <f>IF(AI4&gt;=AL4*0.85,5,IF(AI4&gt;=AL4*0.75,"зачтено",IF(AI4&gt;=AL4*0.6,"не зачтено","не зачтено")))</f>
        <v>не зачтено</v>
      </c>
      <c r="AL4" s="42">
        <f>$AA$1</f>
        <v>84</v>
      </c>
      <c r="AM4" s="43"/>
      <c r="AN4" s="43">
        <f>IF(AI4&gt;=$AH$1,1,0)</f>
        <v>0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</row>
    <row r="5" spans="1:249" s="27" customFormat="1" ht="12.75">
      <c r="A5" s="21">
        <f>A4+1</f>
        <v>2</v>
      </c>
      <c r="B5" s="49" t="s">
        <v>24</v>
      </c>
      <c r="C5" s="22">
        <v>4</v>
      </c>
      <c r="D5" s="23">
        <v>4</v>
      </c>
      <c r="E5" s="22"/>
      <c r="F5" s="22">
        <v>4</v>
      </c>
      <c r="G5" s="22"/>
      <c r="H5" s="22"/>
      <c r="I5" s="23">
        <v>4</v>
      </c>
      <c r="J5" s="35"/>
      <c r="K5" s="22"/>
      <c r="L5" s="45">
        <v>4</v>
      </c>
      <c r="M5" s="35"/>
      <c r="N5" s="21" t="s">
        <v>40</v>
      </c>
      <c r="O5" s="22"/>
      <c r="P5" s="22">
        <v>4</v>
      </c>
      <c r="Q5" s="22"/>
      <c r="R5" s="35"/>
      <c r="S5" s="22">
        <v>4</v>
      </c>
      <c r="T5" s="22"/>
      <c r="U5" s="22"/>
      <c r="V5" s="21">
        <f t="shared" si="0"/>
        <v>28</v>
      </c>
      <c r="W5" s="41">
        <v>15</v>
      </c>
      <c r="X5" s="21">
        <v>9</v>
      </c>
      <c r="Y5" s="41">
        <v>54</v>
      </c>
      <c r="Z5" s="21">
        <v>8</v>
      </c>
      <c r="AA5" s="21">
        <f>SUM(Z5+X5)</f>
        <v>17</v>
      </c>
      <c r="AB5" s="30"/>
      <c r="AC5" s="32">
        <f>2+2+2+0.5+0.5</f>
        <v>7</v>
      </c>
      <c r="AD5" s="21">
        <v>9</v>
      </c>
      <c r="AE5" s="21"/>
      <c r="AF5" s="55"/>
      <c r="AG5" s="21">
        <f>SUM(AC5:AD5)</f>
        <v>16</v>
      </c>
      <c r="AH5" s="21"/>
      <c r="AI5" s="26">
        <f aca="true" t="shared" si="1" ref="AI5:AI33">V5+AA5+AB5+AG5+AH5</f>
        <v>61</v>
      </c>
      <c r="AJ5" s="27" t="str">
        <f>IF(AI5&gt;=AL5*0.85,5,IF(AI5&gt;=AL5*0.75,"зачтено",IF(AI5&gt;=AL5*0.6,"не зачтено","не зачтено")))</f>
        <v>зачтено</v>
      </c>
      <c r="AL5" s="42">
        <f>$AA$1-4</f>
        <v>80</v>
      </c>
      <c r="AM5" s="43"/>
      <c r="AN5" s="43">
        <f aca="true" t="shared" si="2" ref="AN5:AN21">IF(AI5&gt;=$AH$1,1,0)</f>
        <v>0</v>
      </c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</row>
    <row r="6" spans="1:249" ht="12.75">
      <c r="A6" s="2">
        <f aca="true" t="shared" si="3" ref="A6:A37">A5+1</f>
        <v>3</v>
      </c>
      <c r="B6" s="48" t="s">
        <v>37</v>
      </c>
      <c r="C6" s="15">
        <v>4</v>
      </c>
      <c r="D6" s="16">
        <v>4</v>
      </c>
      <c r="E6" s="15"/>
      <c r="F6" s="15">
        <v>4</v>
      </c>
      <c r="G6" s="15"/>
      <c r="H6" s="15"/>
      <c r="I6" s="16">
        <v>4</v>
      </c>
      <c r="J6" s="34"/>
      <c r="K6" s="15"/>
      <c r="L6" s="34">
        <v>4</v>
      </c>
      <c r="M6" s="34"/>
      <c r="N6" s="15">
        <v>4</v>
      </c>
      <c r="O6" s="15"/>
      <c r="P6" s="15">
        <v>4</v>
      </c>
      <c r="Q6" s="15"/>
      <c r="R6" s="34"/>
      <c r="S6" s="15">
        <v>4</v>
      </c>
      <c r="T6" s="15"/>
      <c r="U6" s="15"/>
      <c r="V6" s="2">
        <f t="shared" si="0"/>
        <v>32</v>
      </c>
      <c r="W6" s="40">
        <v>32</v>
      </c>
      <c r="X6" s="2">
        <v>10</v>
      </c>
      <c r="Y6" s="40">
        <v>55</v>
      </c>
      <c r="Z6" s="2">
        <v>10</v>
      </c>
      <c r="AA6" s="2">
        <f aca="true" t="shared" si="4" ref="AA6:AA37">SUM(Z6+X6)</f>
        <v>20</v>
      </c>
      <c r="AB6" s="29"/>
      <c r="AC6" s="31">
        <f>4+2+2</f>
        <v>8</v>
      </c>
      <c r="AD6" s="2">
        <v>6.5</v>
      </c>
      <c r="AE6" s="2"/>
      <c r="AF6" s="53">
        <v>-10</v>
      </c>
      <c r="AG6" s="2">
        <f aca="true" t="shared" si="5" ref="AG6:AG22">SUM(AC6:AD6)</f>
        <v>14.5</v>
      </c>
      <c r="AH6" s="2">
        <v>10</v>
      </c>
      <c r="AI6" s="6">
        <f aca="true" t="shared" si="6" ref="AI6:AI12">V6+AA6+AB6+AG6+AH6+AF6</f>
        <v>66.5</v>
      </c>
      <c r="AJ6" s="43" t="str">
        <f aca="true" t="shared" si="7" ref="AJ6:AJ19">IF(AI6&gt;=AL6*0.85,5,IF(AI6&gt;=AL6*0.75,"зачтено",IF(AI6&gt;=AL6*0.6,"не зачтено","не зачтено")))</f>
        <v>зачтено</v>
      </c>
      <c r="AL6" s="42">
        <f aca="true" t="shared" si="8" ref="AL6:AL37">$AA$1</f>
        <v>84</v>
      </c>
      <c r="AM6" s="43"/>
      <c r="AN6" s="43">
        <f t="shared" si="2"/>
        <v>1</v>
      </c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s="27" customFormat="1" ht="12.75">
      <c r="A7" s="21">
        <f t="shared" si="3"/>
        <v>4</v>
      </c>
      <c r="B7" s="50" t="s">
        <v>25</v>
      </c>
      <c r="C7" s="60"/>
      <c r="D7" s="60"/>
      <c r="E7" s="60"/>
      <c r="F7" s="60"/>
      <c r="G7" s="60"/>
      <c r="H7" s="60"/>
      <c r="I7" s="61">
        <v>4</v>
      </c>
      <c r="J7" s="60"/>
      <c r="K7" s="60"/>
      <c r="L7" s="62">
        <v>4</v>
      </c>
      <c r="M7" s="60"/>
      <c r="N7" s="60">
        <v>0</v>
      </c>
      <c r="O7" s="60"/>
      <c r="P7" s="60">
        <v>0</v>
      </c>
      <c r="Q7" s="60"/>
      <c r="R7" s="60"/>
      <c r="S7" s="60">
        <v>0</v>
      </c>
      <c r="T7" s="60"/>
      <c r="U7" s="60"/>
      <c r="V7" s="60">
        <f t="shared" si="0"/>
        <v>8</v>
      </c>
      <c r="W7" s="63">
        <v>7</v>
      </c>
      <c r="X7" s="60"/>
      <c r="Y7" s="63"/>
      <c r="Z7" s="60"/>
      <c r="AA7" s="60">
        <f t="shared" si="4"/>
        <v>0</v>
      </c>
      <c r="AB7" s="64"/>
      <c r="AC7" s="60">
        <f>0.5+0.5+0.5+1+1.5</f>
        <v>4</v>
      </c>
      <c r="AD7" s="60">
        <v>7.5</v>
      </c>
      <c r="AE7" s="21"/>
      <c r="AF7" s="55">
        <v>-19.5</v>
      </c>
      <c r="AG7" s="21">
        <f t="shared" si="5"/>
        <v>11.5</v>
      </c>
      <c r="AH7" s="21"/>
      <c r="AI7" s="26">
        <f t="shared" si="6"/>
        <v>0</v>
      </c>
      <c r="AJ7" s="27" t="str">
        <f t="shared" si="7"/>
        <v>не зачтено</v>
      </c>
      <c r="AL7" s="42">
        <f t="shared" si="8"/>
        <v>84</v>
      </c>
      <c r="AM7" s="43"/>
      <c r="AN7" s="43">
        <f t="shared" si="2"/>
        <v>0</v>
      </c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249" ht="12.75">
      <c r="A8" s="2">
        <f t="shared" si="3"/>
        <v>5</v>
      </c>
      <c r="B8" s="51" t="s">
        <v>26</v>
      </c>
      <c r="C8" s="56">
        <v>4</v>
      </c>
      <c r="D8" s="57"/>
      <c r="E8" s="56"/>
      <c r="F8" s="56">
        <v>2</v>
      </c>
      <c r="G8" s="56"/>
      <c r="H8" s="56"/>
      <c r="I8" s="57">
        <v>0</v>
      </c>
      <c r="J8" s="56"/>
      <c r="K8" s="56"/>
      <c r="L8" s="56">
        <v>4</v>
      </c>
      <c r="M8" s="56"/>
      <c r="N8" s="56">
        <v>0</v>
      </c>
      <c r="O8" s="56"/>
      <c r="P8" s="56">
        <v>0</v>
      </c>
      <c r="Q8" s="56"/>
      <c r="R8" s="56"/>
      <c r="S8" s="56">
        <v>0</v>
      </c>
      <c r="T8" s="56"/>
      <c r="U8" s="56"/>
      <c r="V8" s="56">
        <f t="shared" si="0"/>
        <v>10</v>
      </c>
      <c r="W8" s="58">
        <v>34</v>
      </c>
      <c r="X8" s="56">
        <v>0</v>
      </c>
      <c r="Y8" s="58"/>
      <c r="Z8" s="56"/>
      <c r="AA8" s="56">
        <f t="shared" si="4"/>
        <v>0</v>
      </c>
      <c r="AB8" s="59"/>
      <c r="AC8" s="56">
        <f>2+1+0.5+2+1</f>
        <v>6.5</v>
      </c>
      <c r="AD8" s="2"/>
      <c r="AE8" s="2"/>
      <c r="AF8" s="53">
        <v>-16.5</v>
      </c>
      <c r="AG8" s="56">
        <f t="shared" si="5"/>
        <v>6.5</v>
      </c>
      <c r="AH8" s="2"/>
      <c r="AI8" s="6">
        <f t="shared" si="6"/>
        <v>0</v>
      </c>
      <c r="AJ8" t="str">
        <f t="shared" si="7"/>
        <v>не зачтено</v>
      </c>
      <c r="AL8" s="42">
        <f t="shared" si="8"/>
        <v>84</v>
      </c>
      <c r="AM8" s="43"/>
      <c r="AN8" s="43">
        <f t="shared" si="2"/>
        <v>0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</row>
    <row r="9" spans="1:249" s="27" customFormat="1" ht="12.75">
      <c r="A9" s="21">
        <f t="shared" si="3"/>
        <v>6</v>
      </c>
      <c r="B9" s="50" t="s">
        <v>27</v>
      </c>
      <c r="C9" s="22">
        <v>4</v>
      </c>
      <c r="D9" s="23"/>
      <c r="E9" s="22"/>
      <c r="F9" s="22">
        <v>4</v>
      </c>
      <c r="G9" s="22"/>
      <c r="H9" s="22"/>
      <c r="I9" s="23">
        <f>4-1</f>
        <v>3</v>
      </c>
      <c r="J9" s="35"/>
      <c r="K9" s="22"/>
      <c r="L9" s="45">
        <v>4</v>
      </c>
      <c r="M9" s="35"/>
      <c r="N9" s="22">
        <v>4</v>
      </c>
      <c r="O9" s="22"/>
      <c r="P9" s="22">
        <v>4</v>
      </c>
      <c r="Q9" s="22"/>
      <c r="R9" s="35"/>
      <c r="S9" s="22">
        <v>4</v>
      </c>
      <c r="T9" s="22"/>
      <c r="U9" s="22"/>
      <c r="V9" s="21">
        <f t="shared" si="0"/>
        <v>27</v>
      </c>
      <c r="W9" s="41">
        <v>4</v>
      </c>
      <c r="X9" s="21">
        <v>8.5</v>
      </c>
      <c r="Y9" s="41"/>
      <c r="Z9" s="21"/>
      <c r="AA9" s="21">
        <f t="shared" si="4"/>
        <v>8.5</v>
      </c>
      <c r="AB9" s="30"/>
      <c r="AC9" s="32">
        <f>2+2+1+0.5</f>
        <v>5.5</v>
      </c>
      <c r="AD9" s="21">
        <v>6</v>
      </c>
      <c r="AE9" s="21"/>
      <c r="AF9" s="55">
        <f>7.5*0.2+16.5*0.2+10.5*0.2</f>
        <v>6.9</v>
      </c>
      <c r="AG9" s="21">
        <f t="shared" si="5"/>
        <v>11.5</v>
      </c>
      <c r="AH9" s="21"/>
      <c r="AI9" s="26">
        <f t="shared" si="6"/>
        <v>53.9</v>
      </c>
      <c r="AJ9" s="27" t="str">
        <f t="shared" si="7"/>
        <v>не зачтено</v>
      </c>
      <c r="AL9" s="42">
        <f t="shared" si="8"/>
        <v>84</v>
      </c>
      <c r="AM9" s="43"/>
      <c r="AN9" s="43">
        <f t="shared" si="2"/>
        <v>0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</row>
    <row r="10" spans="1:249" ht="12.75">
      <c r="A10" s="2">
        <f t="shared" si="3"/>
        <v>7</v>
      </c>
      <c r="B10" s="48" t="s">
        <v>28</v>
      </c>
      <c r="C10" s="15"/>
      <c r="D10" s="16"/>
      <c r="E10" s="15"/>
      <c r="F10" s="15">
        <v>4</v>
      </c>
      <c r="G10" s="15"/>
      <c r="H10" s="15"/>
      <c r="I10" s="16">
        <v>4</v>
      </c>
      <c r="J10" s="34"/>
      <c r="K10" s="15"/>
      <c r="L10" s="34">
        <v>2</v>
      </c>
      <c r="M10" s="34"/>
      <c r="N10" s="15">
        <v>4</v>
      </c>
      <c r="O10" s="15"/>
      <c r="P10" s="15">
        <v>4</v>
      </c>
      <c r="Q10" s="15"/>
      <c r="R10" s="34"/>
      <c r="S10" s="15">
        <v>4</v>
      </c>
      <c r="T10" s="15"/>
      <c r="U10" s="15"/>
      <c r="V10" s="2">
        <f t="shared" si="0"/>
        <v>22</v>
      </c>
      <c r="W10" s="40">
        <v>40</v>
      </c>
      <c r="X10" s="2">
        <v>10</v>
      </c>
      <c r="Y10" s="40">
        <v>42</v>
      </c>
      <c r="Z10" s="2">
        <v>10</v>
      </c>
      <c r="AA10" s="2">
        <f t="shared" si="4"/>
        <v>20</v>
      </c>
      <c r="AB10" s="29"/>
      <c r="AC10" s="31"/>
      <c r="AD10" s="2">
        <v>4</v>
      </c>
      <c r="AE10" s="2"/>
      <c r="AF10" s="53">
        <f>40*0.2</f>
        <v>8</v>
      </c>
      <c r="AG10" s="2">
        <f t="shared" si="5"/>
        <v>4</v>
      </c>
      <c r="AH10" s="2"/>
      <c r="AI10" s="6">
        <f t="shared" si="6"/>
        <v>54</v>
      </c>
      <c r="AJ10" t="str">
        <f t="shared" si="7"/>
        <v>не зачтено</v>
      </c>
      <c r="AL10" s="42">
        <f t="shared" si="8"/>
        <v>84</v>
      </c>
      <c r="AM10" s="43"/>
      <c r="AN10" s="43">
        <f t="shared" si="2"/>
        <v>0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</row>
    <row r="11" spans="1:249" s="27" customFormat="1" ht="12.75">
      <c r="A11" s="21">
        <f t="shared" si="3"/>
        <v>8</v>
      </c>
      <c r="B11" s="49" t="s">
        <v>29</v>
      </c>
      <c r="C11" s="22">
        <v>4</v>
      </c>
      <c r="D11" s="23"/>
      <c r="E11" s="22"/>
      <c r="F11" s="21">
        <v>4</v>
      </c>
      <c r="G11" s="22"/>
      <c r="H11" s="22"/>
      <c r="I11" s="23">
        <v>4</v>
      </c>
      <c r="J11" s="35"/>
      <c r="K11" s="22"/>
      <c r="L11" s="45">
        <v>4</v>
      </c>
      <c r="M11" s="35"/>
      <c r="N11" s="22">
        <v>0</v>
      </c>
      <c r="O11" s="22"/>
      <c r="P11" s="22">
        <v>0</v>
      </c>
      <c r="Q11" s="22"/>
      <c r="R11" s="35"/>
      <c r="S11" s="22">
        <v>4</v>
      </c>
      <c r="T11" s="22"/>
      <c r="U11" s="22"/>
      <c r="V11" s="21">
        <f t="shared" si="0"/>
        <v>20</v>
      </c>
      <c r="W11" s="41">
        <v>34</v>
      </c>
      <c r="X11" s="21">
        <v>5</v>
      </c>
      <c r="Y11" s="41">
        <v>63</v>
      </c>
      <c r="Z11" s="21">
        <v>5</v>
      </c>
      <c r="AA11" s="21">
        <f t="shared" si="4"/>
        <v>10</v>
      </c>
      <c r="AB11" s="30"/>
      <c r="AC11" s="32">
        <f>2+1+2+1</f>
        <v>6</v>
      </c>
      <c r="AD11" s="21">
        <v>4</v>
      </c>
      <c r="AE11" s="21"/>
      <c r="AF11" s="55">
        <f>19.5*0.2+7*2*0.2+27.5*0.2</f>
        <v>12.200000000000001</v>
      </c>
      <c r="AG11" s="21">
        <f t="shared" si="5"/>
        <v>10</v>
      </c>
      <c r="AH11" s="21"/>
      <c r="AI11" s="26">
        <f t="shared" si="6"/>
        <v>52.2</v>
      </c>
      <c r="AJ11" s="27" t="str">
        <f t="shared" si="7"/>
        <v>не зачтено</v>
      </c>
      <c r="AL11" s="42">
        <f t="shared" si="8"/>
        <v>84</v>
      </c>
      <c r="AM11" s="43"/>
      <c r="AN11" s="43">
        <f t="shared" si="2"/>
        <v>0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ht="12.75">
      <c r="A12" s="2">
        <f t="shared" si="3"/>
        <v>9</v>
      </c>
      <c r="B12" s="48" t="s">
        <v>30</v>
      </c>
      <c r="C12" s="15">
        <v>4</v>
      </c>
      <c r="D12" s="16">
        <v>4</v>
      </c>
      <c r="E12" s="15"/>
      <c r="F12" s="15">
        <v>4</v>
      </c>
      <c r="G12" s="15"/>
      <c r="H12" s="15"/>
      <c r="I12" s="16">
        <v>0</v>
      </c>
      <c r="J12" s="34"/>
      <c r="K12" s="15"/>
      <c r="L12" s="34">
        <v>4</v>
      </c>
      <c r="M12" s="34"/>
      <c r="N12" s="15">
        <v>4</v>
      </c>
      <c r="O12" s="15"/>
      <c r="P12" s="15">
        <v>4</v>
      </c>
      <c r="Q12" s="15"/>
      <c r="R12" s="34"/>
      <c r="S12" s="15">
        <v>4</v>
      </c>
      <c r="T12" s="15"/>
      <c r="U12" s="15"/>
      <c r="V12" s="2">
        <f t="shared" si="0"/>
        <v>28</v>
      </c>
      <c r="W12" s="40">
        <v>11</v>
      </c>
      <c r="X12" s="2">
        <v>9</v>
      </c>
      <c r="Y12" s="40">
        <v>30</v>
      </c>
      <c r="Z12" s="2">
        <v>9</v>
      </c>
      <c r="AA12" s="2">
        <f t="shared" si="4"/>
        <v>18</v>
      </c>
      <c r="AB12" s="29"/>
      <c r="AC12" s="31">
        <f>2+2+1+2</f>
        <v>7</v>
      </c>
      <c r="AD12" s="2">
        <v>7.5</v>
      </c>
      <c r="AE12" s="2"/>
      <c r="AF12" s="53">
        <f>15*0.2</f>
        <v>3</v>
      </c>
      <c r="AG12" s="2">
        <f t="shared" si="5"/>
        <v>14.5</v>
      </c>
      <c r="AH12" s="2"/>
      <c r="AI12" s="6">
        <f t="shared" si="6"/>
        <v>63.5</v>
      </c>
      <c r="AJ12" t="str">
        <f t="shared" si="7"/>
        <v>зачтено</v>
      </c>
      <c r="AL12" s="42">
        <f t="shared" si="8"/>
        <v>84</v>
      </c>
      <c r="AM12" s="43"/>
      <c r="AN12" s="43">
        <f t="shared" si="2"/>
        <v>1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249" s="27" customFormat="1" ht="12.75">
      <c r="A13" s="21">
        <f t="shared" si="3"/>
        <v>10</v>
      </c>
      <c r="B13" s="49" t="s">
        <v>31</v>
      </c>
      <c r="C13" s="22">
        <v>4</v>
      </c>
      <c r="D13" s="23">
        <v>4</v>
      </c>
      <c r="E13" s="21"/>
      <c r="F13" s="22">
        <v>4</v>
      </c>
      <c r="G13" s="22"/>
      <c r="H13" s="22"/>
      <c r="I13" s="23">
        <v>4</v>
      </c>
      <c r="J13" s="35"/>
      <c r="K13" s="22"/>
      <c r="L13" s="45">
        <v>4</v>
      </c>
      <c r="M13" s="35"/>
      <c r="N13" s="22">
        <v>4</v>
      </c>
      <c r="O13" s="22"/>
      <c r="P13" s="22">
        <v>4</v>
      </c>
      <c r="Q13" s="22"/>
      <c r="R13" s="35"/>
      <c r="S13" s="22">
        <v>4</v>
      </c>
      <c r="T13" s="22"/>
      <c r="U13" s="22"/>
      <c r="V13" s="21">
        <f t="shared" si="0"/>
        <v>32</v>
      </c>
      <c r="W13" s="41">
        <v>21</v>
      </c>
      <c r="X13" s="21">
        <v>10</v>
      </c>
      <c r="Y13" s="41">
        <v>54</v>
      </c>
      <c r="Z13" s="21">
        <v>10</v>
      </c>
      <c r="AA13" s="21">
        <f t="shared" si="4"/>
        <v>20</v>
      </c>
      <c r="AB13" s="30"/>
      <c r="AC13" s="32">
        <f>2+2+2+2+2</f>
        <v>10</v>
      </c>
      <c r="AD13" s="21">
        <v>9</v>
      </c>
      <c r="AE13" s="21"/>
      <c r="AF13" s="55">
        <v>-7</v>
      </c>
      <c r="AG13" s="21">
        <f t="shared" si="5"/>
        <v>19</v>
      </c>
      <c r="AH13" s="21"/>
      <c r="AI13" s="26">
        <f>V13+AA13+AB13+AG13+AH13+AF13</f>
        <v>64</v>
      </c>
      <c r="AJ13" s="27" t="str">
        <f t="shared" si="7"/>
        <v>зачтено</v>
      </c>
      <c r="AL13" s="42">
        <f t="shared" si="8"/>
        <v>84</v>
      </c>
      <c r="AM13" s="43"/>
      <c r="AN13" s="43">
        <f t="shared" si="2"/>
        <v>1</v>
      </c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ht="12.75">
      <c r="A14" s="2">
        <f t="shared" si="3"/>
        <v>11</v>
      </c>
      <c r="B14" s="52" t="s">
        <v>36</v>
      </c>
      <c r="C14" s="15">
        <v>4</v>
      </c>
      <c r="D14" s="16">
        <v>4</v>
      </c>
      <c r="E14" s="15"/>
      <c r="F14" s="15">
        <v>4</v>
      </c>
      <c r="G14" s="15"/>
      <c r="H14" s="15"/>
      <c r="I14" s="16">
        <v>4</v>
      </c>
      <c r="J14" s="34"/>
      <c r="K14" s="15"/>
      <c r="L14" s="34">
        <v>4</v>
      </c>
      <c r="M14" s="34"/>
      <c r="N14" s="15">
        <v>4</v>
      </c>
      <c r="O14" s="15"/>
      <c r="P14" s="15">
        <v>4</v>
      </c>
      <c r="Q14" s="15"/>
      <c r="R14" s="34"/>
      <c r="S14" s="15">
        <v>4</v>
      </c>
      <c r="T14" s="15"/>
      <c r="U14" s="15"/>
      <c r="V14" s="2">
        <f t="shared" si="0"/>
        <v>32</v>
      </c>
      <c r="W14" s="40">
        <v>8</v>
      </c>
      <c r="X14" s="54">
        <v>9</v>
      </c>
      <c r="Y14" s="40">
        <v>44</v>
      </c>
      <c r="Z14" s="2">
        <v>10</v>
      </c>
      <c r="AA14" s="2">
        <f t="shared" si="4"/>
        <v>19</v>
      </c>
      <c r="AB14" s="29">
        <f>0.5*4</f>
        <v>2</v>
      </c>
      <c r="AC14" s="31">
        <f>2+2+2+2+0</f>
        <v>8</v>
      </c>
      <c r="AD14" s="2">
        <v>9</v>
      </c>
      <c r="AE14" s="2"/>
      <c r="AF14" s="53">
        <v>-10</v>
      </c>
      <c r="AG14" s="2">
        <f t="shared" si="5"/>
        <v>17</v>
      </c>
      <c r="AH14" s="2">
        <v>10</v>
      </c>
      <c r="AI14" s="6">
        <f>V14+AA14+AB14+AG14+AH14+AF14</f>
        <v>70</v>
      </c>
      <c r="AJ14" t="str">
        <f t="shared" si="7"/>
        <v>зачтено</v>
      </c>
      <c r="AL14" s="42">
        <f t="shared" si="8"/>
        <v>84</v>
      </c>
      <c r="AM14" s="43"/>
      <c r="AN14" s="43">
        <f t="shared" si="2"/>
        <v>1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</row>
    <row r="15" spans="1:249" s="27" customFormat="1" ht="12.75">
      <c r="A15" s="21">
        <f t="shared" si="3"/>
        <v>12</v>
      </c>
      <c r="B15" s="49" t="s">
        <v>32</v>
      </c>
      <c r="C15" s="22">
        <v>4</v>
      </c>
      <c r="D15" s="23">
        <v>4</v>
      </c>
      <c r="E15" s="22"/>
      <c r="F15" s="22">
        <v>4</v>
      </c>
      <c r="G15" s="22"/>
      <c r="H15" s="22"/>
      <c r="I15" s="23">
        <v>4</v>
      </c>
      <c r="J15" s="35"/>
      <c r="K15" s="22"/>
      <c r="L15" s="45">
        <v>4</v>
      </c>
      <c r="M15" s="35"/>
      <c r="N15" s="22">
        <v>4</v>
      </c>
      <c r="O15" s="22"/>
      <c r="P15" s="22">
        <v>4</v>
      </c>
      <c r="Q15" s="22"/>
      <c r="R15" s="35"/>
      <c r="S15" s="22">
        <v>4</v>
      </c>
      <c r="T15" s="22"/>
      <c r="U15" s="22"/>
      <c r="V15" s="21">
        <f t="shared" si="0"/>
        <v>32</v>
      </c>
      <c r="W15" s="41">
        <v>37</v>
      </c>
      <c r="X15" s="21">
        <v>9.5</v>
      </c>
      <c r="Y15" s="41">
        <v>65</v>
      </c>
      <c r="Z15" s="21">
        <v>10</v>
      </c>
      <c r="AA15" s="21">
        <f t="shared" si="4"/>
        <v>19.5</v>
      </c>
      <c r="AB15" s="30"/>
      <c r="AC15" s="32">
        <f>2+1</f>
        <v>3</v>
      </c>
      <c r="AD15" s="21">
        <v>7</v>
      </c>
      <c r="AE15" s="21"/>
      <c r="AF15" s="55">
        <f>10*0.2</f>
        <v>2</v>
      </c>
      <c r="AG15" s="21">
        <f t="shared" si="5"/>
        <v>10</v>
      </c>
      <c r="AH15" s="21"/>
      <c r="AI15" s="26">
        <f>V15+AA15+AB15+AG15+AH15+AF15</f>
        <v>63.5</v>
      </c>
      <c r="AJ15" s="27" t="str">
        <f t="shared" si="7"/>
        <v>зачтено</v>
      </c>
      <c r="AL15" s="42">
        <f t="shared" si="8"/>
        <v>84</v>
      </c>
      <c r="AM15" s="43"/>
      <c r="AN15" s="43">
        <f t="shared" si="2"/>
        <v>1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ht="12.75">
      <c r="A16" s="2">
        <f t="shared" si="3"/>
        <v>13</v>
      </c>
      <c r="B16" s="48" t="s">
        <v>33</v>
      </c>
      <c r="C16" s="15">
        <v>4</v>
      </c>
      <c r="D16" s="16">
        <v>4</v>
      </c>
      <c r="E16" s="15"/>
      <c r="F16" s="15">
        <v>4</v>
      </c>
      <c r="G16" s="15"/>
      <c r="H16" s="15"/>
      <c r="I16" s="16">
        <v>4</v>
      </c>
      <c r="J16" s="34"/>
      <c r="K16" s="15"/>
      <c r="L16" s="34">
        <v>4</v>
      </c>
      <c r="M16" s="34"/>
      <c r="N16" s="15">
        <v>4</v>
      </c>
      <c r="O16" s="15"/>
      <c r="P16" s="15">
        <v>4</v>
      </c>
      <c r="Q16" s="15"/>
      <c r="R16" s="34"/>
      <c r="S16" s="15">
        <v>4</v>
      </c>
      <c r="T16" s="15"/>
      <c r="U16" s="15"/>
      <c r="V16" s="2">
        <f t="shared" si="0"/>
        <v>32</v>
      </c>
      <c r="W16" s="40">
        <v>13</v>
      </c>
      <c r="X16" s="2">
        <v>9</v>
      </c>
      <c r="Y16" s="40">
        <v>46</v>
      </c>
      <c r="Z16" s="2">
        <v>10</v>
      </c>
      <c r="AA16" s="2">
        <f t="shared" si="4"/>
        <v>19</v>
      </c>
      <c r="AB16" s="29"/>
      <c r="AC16" s="31">
        <f>2+2+2+2+1</f>
        <v>9</v>
      </c>
      <c r="AD16" s="2">
        <v>7</v>
      </c>
      <c r="AE16" s="2"/>
      <c r="AF16" s="53">
        <v>-7</v>
      </c>
      <c r="AG16" s="2">
        <f t="shared" si="5"/>
        <v>16</v>
      </c>
      <c r="AH16" s="2">
        <v>4</v>
      </c>
      <c r="AI16" s="6">
        <f>V16+AA16+AB16+AG16+AH16+AF16</f>
        <v>64</v>
      </c>
      <c r="AJ16" t="str">
        <f t="shared" si="7"/>
        <v>зачтено</v>
      </c>
      <c r="AL16" s="42">
        <f t="shared" si="8"/>
        <v>84</v>
      </c>
      <c r="AM16" s="43"/>
      <c r="AN16" s="43">
        <f t="shared" si="2"/>
        <v>1</v>
      </c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s="27" customFormat="1" ht="12.75">
      <c r="A17" s="21">
        <f t="shared" si="3"/>
        <v>14</v>
      </c>
      <c r="B17" s="49" t="s">
        <v>34</v>
      </c>
      <c r="C17" s="22">
        <v>4</v>
      </c>
      <c r="D17" s="23">
        <v>4</v>
      </c>
      <c r="E17" s="22"/>
      <c r="F17" s="22">
        <v>4</v>
      </c>
      <c r="G17" s="22"/>
      <c r="H17" s="22"/>
      <c r="I17" s="23">
        <v>4</v>
      </c>
      <c r="J17" s="35"/>
      <c r="K17" s="22"/>
      <c r="L17" s="45">
        <v>4</v>
      </c>
      <c r="M17" s="35"/>
      <c r="N17" s="22">
        <v>4</v>
      </c>
      <c r="O17" s="22"/>
      <c r="P17" s="22">
        <v>4</v>
      </c>
      <c r="Q17" s="22"/>
      <c r="R17" s="35"/>
      <c r="S17" s="22">
        <v>4</v>
      </c>
      <c r="T17" s="22"/>
      <c r="U17" s="22"/>
      <c r="V17" s="21">
        <f t="shared" si="0"/>
        <v>32</v>
      </c>
      <c r="W17" s="41">
        <v>48</v>
      </c>
      <c r="X17" s="21">
        <v>8.5</v>
      </c>
      <c r="Y17" s="41">
        <v>59</v>
      </c>
      <c r="Z17" s="21">
        <v>10</v>
      </c>
      <c r="AA17" s="21">
        <f t="shared" si="4"/>
        <v>18.5</v>
      </c>
      <c r="AB17" s="30">
        <f>2</f>
        <v>2</v>
      </c>
      <c r="AC17" s="32">
        <f>2+2+1+2+1</f>
        <v>8</v>
      </c>
      <c r="AD17" s="21">
        <v>5.5</v>
      </c>
      <c r="AE17" s="21"/>
      <c r="AF17" s="55"/>
      <c r="AG17" s="21">
        <f t="shared" si="5"/>
        <v>13.5</v>
      </c>
      <c r="AH17" s="21"/>
      <c r="AI17" s="26">
        <f t="shared" si="1"/>
        <v>66</v>
      </c>
      <c r="AJ17" s="27" t="str">
        <f t="shared" si="7"/>
        <v>зачтено</v>
      </c>
      <c r="AL17" s="42">
        <f t="shared" si="8"/>
        <v>84</v>
      </c>
      <c r="AM17" s="43"/>
      <c r="AN17" s="43">
        <f t="shared" si="2"/>
        <v>1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ht="12.75">
      <c r="A18" s="2">
        <f t="shared" si="3"/>
        <v>15</v>
      </c>
      <c r="B18" s="48" t="s">
        <v>35</v>
      </c>
      <c r="C18" s="15">
        <v>2</v>
      </c>
      <c r="D18" s="16">
        <v>4</v>
      </c>
      <c r="E18" s="15"/>
      <c r="F18" s="15">
        <v>2</v>
      </c>
      <c r="G18" s="15"/>
      <c r="H18" s="15"/>
      <c r="I18" s="16">
        <v>4</v>
      </c>
      <c r="J18" s="34"/>
      <c r="K18" s="15"/>
      <c r="L18" s="34">
        <v>4</v>
      </c>
      <c r="M18" s="34"/>
      <c r="N18" s="15">
        <v>4</v>
      </c>
      <c r="O18" s="15"/>
      <c r="P18" s="15">
        <v>4</v>
      </c>
      <c r="Q18" s="15"/>
      <c r="R18" s="34"/>
      <c r="S18" s="15">
        <v>4</v>
      </c>
      <c r="T18" s="15"/>
      <c r="U18" s="15"/>
      <c r="V18" s="2">
        <f t="shared" si="0"/>
        <v>28</v>
      </c>
      <c r="W18" s="40">
        <v>57</v>
      </c>
      <c r="X18" s="2">
        <v>10</v>
      </c>
      <c r="Y18" s="40">
        <v>60</v>
      </c>
      <c r="Z18" s="2">
        <v>10</v>
      </c>
      <c r="AA18" s="2">
        <f t="shared" si="4"/>
        <v>20</v>
      </c>
      <c r="AB18" s="29">
        <f>2+2+1</f>
        <v>5</v>
      </c>
      <c r="AC18" s="31">
        <f>2+2+2+2+2</f>
        <v>10</v>
      </c>
      <c r="AD18" s="2">
        <v>10</v>
      </c>
      <c r="AE18" s="2"/>
      <c r="AF18" s="53">
        <f>-15</f>
        <v>-15</v>
      </c>
      <c r="AG18" s="2">
        <f t="shared" si="5"/>
        <v>20</v>
      </c>
      <c r="AH18" s="2">
        <v>10</v>
      </c>
      <c r="AI18" s="6">
        <f>V18+AA18+AB18+AG18+AH18+AF18</f>
        <v>68</v>
      </c>
      <c r="AJ18" t="str">
        <f t="shared" si="7"/>
        <v>зачтено</v>
      </c>
      <c r="AL18" s="42">
        <f t="shared" si="8"/>
        <v>84</v>
      </c>
      <c r="AM18" s="43"/>
      <c r="AN18" s="43">
        <f t="shared" si="2"/>
        <v>1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s="27" customFormat="1" ht="12.75">
      <c r="A19" s="21">
        <f t="shared" si="3"/>
        <v>16</v>
      </c>
      <c r="B19" s="37"/>
      <c r="C19" s="22"/>
      <c r="D19" s="23"/>
      <c r="E19" s="22"/>
      <c r="F19" s="22"/>
      <c r="G19" s="22"/>
      <c r="H19" s="22"/>
      <c r="I19" s="23"/>
      <c r="J19" s="35"/>
      <c r="K19" s="22"/>
      <c r="L19" s="45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1"/>
      <c r="X19" s="21"/>
      <c r="Y19" s="41"/>
      <c r="Z19" s="21"/>
      <c r="AA19" s="21">
        <f t="shared" si="4"/>
        <v>0</v>
      </c>
      <c r="AB19" s="30"/>
      <c r="AC19" s="32"/>
      <c r="AD19" s="21"/>
      <c r="AE19" s="21"/>
      <c r="AF19" s="55"/>
      <c r="AG19" s="21">
        <f t="shared" si="5"/>
        <v>0</v>
      </c>
      <c r="AH19" s="21"/>
      <c r="AI19" s="26">
        <f t="shared" si="1"/>
        <v>0</v>
      </c>
      <c r="AJ19" s="27" t="str">
        <f t="shared" si="7"/>
        <v>не зачтено</v>
      </c>
      <c r="AL19" s="42">
        <f t="shared" si="8"/>
        <v>84</v>
      </c>
      <c r="AM19" s="43"/>
      <c r="AN19" s="43">
        <f t="shared" si="2"/>
        <v>0</v>
      </c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ht="12.75" hidden="1">
      <c r="A20" s="2">
        <f t="shared" si="3"/>
        <v>17</v>
      </c>
      <c r="B20" s="36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0"/>
      <c r="X20" s="2"/>
      <c r="Y20" s="40"/>
      <c r="Z20" s="2"/>
      <c r="AA20" s="2">
        <f t="shared" si="4"/>
        <v>0</v>
      </c>
      <c r="AB20" s="29"/>
      <c r="AC20" s="31"/>
      <c r="AD20" s="2"/>
      <c r="AE20" s="2"/>
      <c r="AF20" s="18"/>
      <c r="AG20" s="2">
        <f t="shared" si="5"/>
        <v>0</v>
      </c>
      <c r="AH20" s="2"/>
      <c r="AI20" s="6">
        <f t="shared" si="1"/>
        <v>0</v>
      </c>
      <c r="AJ20" t="str">
        <f aca="true" t="shared" si="9" ref="AJ20:AJ37">IF(AI20&gt;=AL20*0.85,5,IF(AI20&gt;=AL20*0.8,"зачтено",IF(AI20&gt;=AL20*0.6,"не зачтено","не зачтено")))</f>
        <v>не зачтено</v>
      </c>
      <c r="AL20" s="42">
        <f t="shared" si="8"/>
        <v>84</v>
      </c>
      <c r="AM20" s="43"/>
      <c r="AN20" s="43">
        <f t="shared" si="2"/>
        <v>0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s="27" customFormat="1" ht="12.75" hidden="1">
      <c r="A21" s="21">
        <f t="shared" si="3"/>
        <v>18</v>
      </c>
      <c r="B21" s="37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1"/>
      <c r="X21" s="21"/>
      <c r="Y21" s="41"/>
      <c r="Z21" s="21"/>
      <c r="AA21" s="21">
        <f t="shared" si="4"/>
        <v>0</v>
      </c>
      <c r="AB21" s="30"/>
      <c r="AC21" s="32"/>
      <c r="AD21" s="21"/>
      <c r="AE21" s="21"/>
      <c r="AF21" s="25"/>
      <c r="AG21" s="21">
        <f t="shared" si="5"/>
        <v>0</v>
      </c>
      <c r="AH21" s="21"/>
      <c r="AI21" s="26">
        <f t="shared" si="1"/>
        <v>0</v>
      </c>
      <c r="AJ21" s="27" t="str">
        <f t="shared" si="9"/>
        <v>не зачтено</v>
      </c>
      <c r="AL21" s="42">
        <f t="shared" si="8"/>
        <v>84</v>
      </c>
      <c r="AM21" s="43"/>
      <c r="AN21" s="43">
        <f t="shared" si="2"/>
        <v>0</v>
      </c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249" ht="12.75" hidden="1">
      <c r="A22" s="2">
        <f t="shared" si="3"/>
        <v>19</v>
      </c>
      <c r="B22" s="36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0"/>
      <c r="X22" s="2"/>
      <c r="Y22" s="40"/>
      <c r="Z22" s="2"/>
      <c r="AA22" s="2">
        <f t="shared" si="4"/>
        <v>0</v>
      </c>
      <c r="AB22" s="29"/>
      <c r="AC22" s="31"/>
      <c r="AD22" s="2"/>
      <c r="AE22" s="2"/>
      <c r="AF22" s="18"/>
      <c r="AG22" s="2">
        <f t="shared" si="5"/>
        <v>0</v>
      </c>
      <c r="AH22" s="2"/>
      <c r="AI22" s="6">
        <f t="shared" si="1"/>
        <v>0</v>
      </c>
      <c r="AJ22" t="str">
        <f t="shared" si="9"/>
        <v>не зачтено</v>
      </c>
      <c r="AL22" s="42">
        <f t="shared" si="8"/>
        <v>84</v>
      </c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s="27" customFormat="1" ht="12.75" hidden="1">
      <c r="A23" s="21">
        <f t="shared" si="3"/>
        <v>20</v>
      </c>
      <c r="B23" s="37"/>
      <c r="C23" s="44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1"/>
      <c r="X23" s="21"/>
      <c r="Y23" s="41"/>
      <c r="Z23" s="21"/>
      <c r="AA23" s="21">
        <f t="shared" si="4"/>
        <v>0</v>
      </c>
      <c r="AB23" s="30"/>
      <c r="AC23" s="33"/>
      <c r="AD23" s="21"/>
      <c r="AE23" s="21"/>
      <c r="AF23" s="24"/>
      <c r="AG23" s="21">
        <f aca="true" t="shared" si="10" ref="AG23:AG33">SUM(AC23:AF23)</f>
        <v>0</v>
      </c>
      <c r="AH23" s="21"/>
      <c r="AI23" s="26">
        <f t="shared" si="1"/>
        <v>0</v>
      </c>
      <c r="AJ23" s="27" t="str">
        <f t="shared" si="9"/>
        <v>не зачтено</v>
      </c>
      <c r="AL23" s="42">
        <f t="shared" si="8"/>
        <v>84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ht="12.75" hidden="1">
      <c r="A24" s="2">
        <f t="shared" si="3"/>
        <v>21</v>
      </c>
      <c r="B24" s="36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0"/>
      <c r="X24" s="2"/>
      <c r="Y24" s="40"/>
      <c r="Z24" s="2"/>
      <c r="AA24" s="2">
        <f t="shared" si="4"/>
        <v>0</v>
      </c>
      <c r="AB24" s="29"/>
      <c r="AC24" s="31"/>
      <c r="AD24" s="2"/>
      <c r="AE24" s="2"/>
      <c r="AF24" s="5"/>
      <c r="AG24" s="2">
        <f t="shared" si="10"/>
        <v>0</v>
      </c>
      <c r="AH24" s="2"/>
      <c r="AI24" s="6">
        <f t="shared" si="1"/>
        <v>0</v>
      </c>
      <c r="AJ24" t="str">
        <f t="shared" si="9"/>
        <v>не зачтено</v>
      </c>
      <c r="AL24" s="42">
        <f t="shared" si="8"/>
        <v>84</v>
      </c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s="27" customFormat="1" ht="12.75" hidden="1">
      <c r="A25" s="21">
        <f t="shared" si="3"/>
        <v>22</v>
      </c>
      <c r="B25" s="37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1"/>
      <c r="X25" s="21"/>
      <c r="Y25" s="41"/>
      <c r="Z25" s="21"/>
      <c r="AA25" s="21">
        <f t="shared" si="4"/>
        <v>0</v>
      </c>
      <c r="AB25" s="24"/>
      <c r="AC25" s="21"/>
      <c r="AD25" s="21"/>
      <c r="AE25" s="21"/>
      <c r="AF25" s="24"/>
      <c r="AG25" s="21">
        <f t="shared" si="10"/>
        <v>0</v>
      </c>
      <c r="AH25" s="21"/>
      <c r="AI25" s="26">
        <f t="shared" si="1"/>
        <v>0</v>
      </c>
      <c r="AJ25" s="27" t="str">
        <f t="shared" si="9"/>
        <v>не зачтено</v>
      </c>
      <c r="AL25" s="42">
        <f t="shared" si="8"/>
        <v>84</v>
      </c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ht="12.75" hidden="1">
      <c r="A26" s="2">
        <f t="shared" si="3"/>
        <v>23</v>
      </c>
      <c r="B26" s="3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0"/>
      <c r="X26" s="2"/>
      <c r="Y26" s="40"/>
      <c r="Z26" s="2"/>
      <c r="AA26" s="2">
        <f t="shared" si="4"/>
        <v>0</v>
      </c>
      <c r="AB26" s="5"/>
      <c r="AC26" s="2"/>
      <c r="AD26" s="2"/>
      <c r="AE26" s="2"/>
      <c r="AF26" s="2"/>
      <c r="AG26" s="2">
        <f t="shared" si="10"/>
        <v>0</v>
      </c>
      <c r="AH26" s="2"/>
      <c r="AI26" s="6">
        <f t="shared" si="1"/>
        <v>0</v>
      </c>
      <c r="AJ26" t="str">
        <f t="shared" si="9"/>
        <v>не зачтено</v>
      </c>
      <c r="AL26" s="42">
        <f t="shared" si="8"/>
        <v>84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</row>
    <row r="27" spans="1:249" s="27" customFormat="1" ht="12" customHeight="1" hidden="1">
      <c r="A27" s="21">
        <f t="shared" si="3"/>
        <v>24</v>
      </c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1"/>
      <c r="X27" s="21"/>
      <c r="Y27" s="41"/>
      <c r="Z27" s="21"/>
      <c r="AA27" s="21">
        <f t="shared" si="4"/>
        <v>0</v>
      </c>
      <c r="AB27" s="24"/>
      <c r="AC27" s="21"/>
      <c r="AD27" s="21"/>
      <c r="AE27" s="21"/>
      <c r="AF27" s="24"/>
      <c r="AG27" s="21">
        <f t="shared" si="10"/>
        <v>0</v>
      </c>
      <c r="AH27" s="21"/>
      <c r="AI27" s="26">
        <f t="shared" si="1"/>
        <v>0</v>
      </c>
      <c r="AJ27" s="27" t="str">
        <f t="shared" si="9"/>
        <v>не зачтено</v>
      </c>
      <c r="AL27" s="42">
        <f t="shared" si="8"/>
        <v>84</v>
      </c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</row>
    <row r="28" spans="1:249" ht="12.75" hidden="1">
      <c r="A28" s="2">
        <f t="shared" si="3"/>
        <v>25</v>
      </c>
      <c r="B28" s="36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0"/>
      <c r="X28" s="2"/>
      <c r="Y28" s="40"/>
      <c r="Z28" s="2"/>
      <c r="AA28" s="2">
        <f t="shared" si="4"/>
        <v>0</v>
      </c>
      <c r="AB28" s="5"/>
      <c r="AC28" s="2"/>
      <c r="AD28" s="2"/>
      <c r="AE28" s="2"/>
      <c r="AF28" s="5"/>
      <c r="AG28" s="2">
        <f t="shared" si="10"/>
        <v>0</v>
      </c>
      <c r="AH28" s="2"/>
      <c r="AI28" s="6">
        <f t="shared" si="1"/>
        <v>0</v>
      </c>
      <c r="AJ28" t="str">
        <f t="shared" si="9"/>
        <v>не зачтено</v>
      </c>
      <c r="AL28" s="42">
        <f t="shared" si="8"/>
        <v>84</v>
      </c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</row>
    <row r="29" spans="1:249" s="27" customFormat="1" ht="12.75" hidden="1">
      <c r="A29" s="21">
        <f t="shared" si="3"/>
        <v>26</v>
      </c>
      <c r="B29" s="3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1"/>
      <c r="X29" s="21"/>
      <c r="Y29" s="41"/>
      <c r="Z29" s="21"/>
      <c r="AA29" s="21">
        <f t="shared" si="4"/>
        <v>0</v>
      </c>
      <c r="AB29" s="24"/>
      <c r="AC29" s="21"/>
      <c r="AD29" s="21"/>
      <c r="AE29" s="21"/>
      <c r="AF29" s="24"/>
      <c r="AG29" s="21">
        <f t="shared" si="10"/>
        <v>0</v>
      </c>
      <c r="AH29" s="21"/>
      <c r="AI29" s="26">
        <f t="shared" si="1"/>
        <v>0</v>
      </c>
      <c r="AJ29" s="27" t="str">
        <f t="shared" si="9"/>
        <v>не зачтено</v>
      </c>
      <c r="AL29" s="42">
        <f t="shared" si="8"/>
        <v>84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</row>
    <row r="30" spans="1:249" ht="12.75" hidden="1">
      <c r="A30" s="2">
        <f t="shared" si="3"/>
        <v>27</v>
      </c>
      <c r="B30" s="36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0"/>
      <c r="X30" s="2"/>
      <c r="Y30" s="40"/>
      <c r="Z30" s="2"/>
      <c r="AA30" s="2">
        <f t="shared" si="4"/>
        <v>0</v>
      </c>
      <c r="AB30" s="29"/>
      <c r="AC30" s="2"/>
      <c r="AD30" s="2"/>
      <c r="AE30" s="2"/>
      <c r="AF30" s="5"/>
      <c r="AG30" s="2">
        <f t="shared" si="10"/>
        <v>0</v>
      </c>
      <c r="AH30" s="2"/>
      <c r="AI30" s="6">
        <f t="shared" si="1"/>
        <v>0</v>
      </c>
      <c r="AJ30" t="str">
        <f t="shared" si="9"/>
        <v>не зачтено</v>
      </c>
      <c r="AL30" s="42">
        <f t="shared" si="8"/>
        <v>84</v>
      </c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s="27" customFormat="1" ht="12.75" hidden="1">
      <c r="A31" s="21">
        <f t="shared" si="3"/>
        <v>28</v>
      </c>
      <c r="B31" s="3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1"/>
      <c r="X31" s="21"/>
      <c r="Y31" s="41"/>
      <c r="Z31" s="21"/>
      <c r="AA31" s="21">
        <f t="shared" si="4"/>
        <v>0</v>
      </c>
      <c r="AB31" s="24"/>
      <c r="AC31" s="21"/>
      <c r="AD31" s="21"/>
      <c r="AE31" s="21"/>
      <c r="AF31" s="24"/>
      <c r="AG31" s="21">
        <f t="shared" si="10"/>
        <v>0</v>
      </c>
      <c r="AH31" s="21"/>
      <c r="AI31" s="26">
        <f t="shared" si="1"/>
        <v>0</v>
      </c>
      <c r="AJ31" s="27" t="str">
        <f t="shared" si="9"/>
        <v>не зачтено</v>
      </c>
      <c r="AL31" s="42">
        <f t="shared" si="8"/>
        <v>84</v>
      </c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</row>
    <row r="32" spans="1:249" ht="12.75" hidden="1">
      <c r="A32" s="2">
        <f t="shared" si="3"/>
        <v>29</v>
      </c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0"/>
      <c r="X32" s="2"/>
      <c r="Y32" s="40"/>
      <c r="Z32" s="2"/>
      <c r="AA32" s="2">
        <f t="shared" si="4"/>
        <v>0</v>
      </c>
      <c r="AB32" s="29"/>
      <c r="AC32" s="2"/>
      <c r="AD32" s="2"/>
      <c r="AE32" s="2"/>
      <c r="AF32" s="5"/>
      <c r="AG32" s="2">
        <f t="shared" si="10"/>
        <v>0</v>
      </c>
      <c r="AH32" s="2"/>
      <c r="AI32" s="6">
        <f t="shared" si="1"/>
        <v>0</v>
      </c>
      <c r="AJ32" t="str">
        <f t="shared" si="9"/>
        <v>не зачтено</v>
      </c>
      <c r="AL32" s="42">
        <f t="shared" si="8"/>
        <v>84</v>
      </c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</row>
    <row r="33" spans="1:249" s="27" customFormat="1" ht="12.75" hidden="1">
      <c r="A33" s="21">
        <f t="shared" si="3"/>
        <v>30</v>
      </c>
      <c r="B33" s="3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1"/>
      <c r="X33" s="21"/>
      <c r="Y33" s="41"/>
      <c r="Z33" s="21"/>
      <c r="AA33" s="21">
        <f t="shared" si="4"/>
        <v>0</v>
      </c>
      <c r="AB33" s="21"/>
      <c r="AC33" s="21"/>
      <c r="AD33" s="21"/>
      <c r="AE33" s="21"/>
      <c r="AF33" s="24"/>
      <c r="AG33" s="21">
        <f t="shared" si="10"/>
        <v>0</v>
      </c>
      <c r="AH33" s="21"/>
      <c r="AI33" s="26">
        <f t="shared" si="1"/>
        <v>0</v>
      </c>
      <c r="AJ33" s="27" t="str">
        <f t="shared" si="9"/>
        <v>не зачтено</v>
      </c>
      <c r="AL33" s="42">
        <f t="shared" si="8"/>
        <v>84</v>
      </c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</row>
    <row r="34" spans="1:249" s="27" customFormat="1" ht="12.75" hidden="1">
      <c r="A34" s="2">
        <f t="shared" si="3"/>
        <v>31</v>
      </c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0"/>
      <c r="X34" s="2"/>
      <c r="Y34" s="40"/>
      <c r="Z34" s="2"/>
      <c r="AA34" s="2">
        <f t="shared" si="4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9"/>
        <v>не зачтено</v>
      </c>
      <c r="AK34"/>
      <c r="AL34" s="42">
        <f t="shared" si="8"/>
        <v>84</v>
      </c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</row>
    <row r="35" spans="1:249" s="27" customFormat="1" ht="12.75" hidden="1">
      <c r="A35" s="21">
        <f t="shared" si="3"/>
        <v>32</v>
      </c>
      <c r="B35" s="3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1"/>
      <c r="X35" s="21"/>
      <c r="Y35" s="41"/>
      <c r="Z35" s="21"/>
      <c r="AA35" s="21">
        <f t="shared" si="4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9"/>
        <v>не зачтено</v>
      </c>
      <c r="AL35" s="42">
        <f t="shared" si="8"/>
        <v>84</v>
      </c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</row>
    <row r="36" spans="1:249" s="27" customFormat="1" ht="12.75" hidden="1">
      <c r="A36" s="2">
        <f t="shared" si="3"/>
        <v>33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0"/>
      <c r="X36" s="2"/>
      <c r="Y36" s="40"/>
      <c r="Z36" s="2"/>
      <c r="AA36" s="2">
        <f t="shared" si="4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9"/>
        <v>не зачтено</v>
      </c>
      <c r="AK36"/>
      <c r="AL36" s="42">
        <f t="shared" si="8"/>
        <v>84</v>
      </c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</row>
    <row r="37" spans="1:249" s="27" customFormat="1" ht="12.75" hidden="1">
      <c r="A37" s="21">
        <f t="shared" si="3"/>
        <v>34</v>
      </c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1"/>
      <c r="X37" s="21"/>
      <c r="Y37" s="41"/>
      <c r="Z37" s="21"/>
      <c r="AA37" s="21">
        <f t="shared" si="4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9"/>
        <v>не зачтено</v>
      </c>
      <c r="AL37" s="42">
        <f t="shared" si="8"/>
        <v>84</v>
      </c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</row>
    <row r="38" spans="3:249" ht="12.75">
      <c r="C38" s="10">
        <f>COUNTIF(C4:C37,"&gt;0")</f>
        <v>12</v>
      </c>
      <c r="D38" s="10">
        <f aca="true" t="shared" si="11" ref="D38:U38">COUNTIF(D4:D37,"&gt;0")</f>
        <v>9</v>
      </c>
      <c r="E38" s="10">
        <f t="shared" si="11"/>
        <v>0</v>
      </c>
      <c r="F38" s="10">
        <f t="shared" si="11"/>
        <v>13</v>
      </c>
      <c r="G38" s="10">
        <f t="shared" si="11"/>
        <v>0</v>
      </c>
      <c r="H38" s="10">
        <f t="shared" si="11"/>
        <v>0</v>
      </c>
      <c r="I38" s="10">
        <f t="shared" si="11"/>
        <v>13</v>
      </c>
      <c r="J38" s="10">
        <f t="shared" si="11"/>
        <v>0</v>
      </c>
      <c r="K38" s="10">
        <f t="shared" si="11"/>
        <v>0</v>
      </c>
      <c r="L38" s="10">
        <f t="shared" si="11"/>
        <v>15</v>
      </c>
      <c r="M38" s="10">
        <f t="shared" si="11"/>
        <v>0</v>
      </c>
      <c r="N38" s="10">
        <f t="shared" si="11"/>
        <v>11</v>
      </c>
      <c r="O38" s="10">
        <f t="shared" si="11"/>
        <v>0</v>
      </c>
      <c r="P38" s="10">
        <f t="shared" si="11"/>
        <v>12</v>
      </c>
      <c r="Q38" s="10">
        <f t="shared" si="11"/>
        <v>0</v>
      </c>
      <c r="R38" s="10">
        <f t="shared" si="11"/>
        <v>0</v>
      </c>
      <c r="S38" s="10">
        <f t="shared" si="11"/>
        <v>13</v>
      </c>
      <c r="T38" s="10">
        <f t="shared" si="11"/>
        <v>0</v>
      </c>
      <c r="U38" s="10">
        <f t="shared" si="11"/>
        <v>0</v>
      </c>
      <c r="V38" s="10">
        <f aca="true" t="shared" si="12" ref="V38:AI38">COUNTIF(V4:V37,"&gt;0")</f>
        <v>15</v>
      </c>
      <c r="W38" s="10">
        <f t="shared" si="12"/>
        <v>15</v>
      </c>
      <c r="X38" s="10">
        <f t="shared" si="12"/>
        <v>12</v>
      </c>
      <c r="Y38" s="10">
        <f t="shared" si="12"/>
        <v>11</v>
      </c>
      <c r="Z38" s="10">
        <f t="shared" si="12"/>
        <v>11</v>
      </c>
      <c r="AA38" s="10">
        <f t="shared" si="12"/>
        <v>12</v>
      </c>
      <c r="AB38" s="10">
        <f t="shared" si="12"/>
        <v>3</v>
      </c>
      <c r="AC38" s="10">
        <f t="shared" si="12"/>
        <v>14</v>
      </c>
      <c r="AD38" s="10">
        <f t="shared" si="12"/>
        <v>14</v>
      </c>
      <c r="AE38" s="10">
        <f t="shared" si="12"/>
        <v>0</v>
      </c>
      <c r="AF38" s="10">
        <f t="shared" si="12"/>
        <v>5</v>
      </c>
      <c r="AG38" s="10">
        <f t="shared" si="12"/>
        <v>15</v>
      </c>
      <c r="AH38" s="10">
        <f t="shared" si="12"/>
        <v>4</v>
      </c>
      <c r="AI38" s="10">
        <f t="shared" si="12"/>
        <v>12</v>
      </c>
      <c r="AL38" s="43"/>
      <c r="AM38" s="43"/>
      <c r="AN38" s="10">
        <f>COUNTIF(AN4:AN37,"&gt;0")</f>
        <v>8</v>
      </c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</row>
    <row r="39" spans="1:249" ht="12.75">
      <c r="A39" s="20" t="s">
        <v>21</v>
      </c>
      <c r="C39" s="11"/>
      <c r="I39" s="20" t="s">
        <v>38</v>
      </c>
      <c r="J39" s="20"/>
      <c r="AA39" s="10">
        <f>X38+Z38</f>
        <v>23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07_2012.xls"/>
    <hyperlink ref="I39" r:id="rId2" display="vgna-fo307@rambler.ru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2012-12-31T06:28:37Z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