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884" yWindow="2316" windowWidth="12384" windowHeight="9312" tabRatio="602" activeTab="0"/>
  </bookViews>
  <sheets>
    <sheet name="307" sheetId="1" r:id="rId1"/>
  </sheets>
  <definedNames>
    <definedName name="_xlnm.Print_Area" localSheetId="0">'307'!$A$1:$AY$39</definedName>
  </definedNames>
  <calcPr fullCalcOnLoad="1"/>
</workbook>
</file>

<file path=xl/comments1.xml><?xml version="1.0" encoding="utf-8"?>
<comments xmlns="http://schemas.openxmlformats.org/spreadsheetml/2006/main">
  <authors>
    <author>molchanov</author>
  </authors>
  <commentList>
    <comment ref="C4" authorId="0">
      <text>
        <r>
          <rPr>
            <b/>
            <sz val="8"/>
            <rFont val="Tahoma"/>
            <family val="2"/>
          </rPr>
          <t>molchanov:</t>
        </r>
        <r>
          <rPr>
            <sz val="8"/>
            <rFont val="Tahoma"/>
            <family val="2"/>
          </rPr>
          <t xml:space="preserve">
Э1</t>
        </r>
      </text>
    </comment>
    <comment ref="AK4" authorId="0">
      <text>
        <r>
          <rPr>
            <b/>
            <sz val="8"/>
            <rFont val="Tahoma"/>
            <family val="2"/>
          </rPr>
          <t>molchanov:</t>
        </r>
        <r>
          <rPr>
            <sz val="8"/>
            <rFont val="Tahoma"/>
            <family val="2"/>
          </rPr>
          <t xml:space="preserve">
Патернализм в России</t>
        </r>
      </text>
    </comment>
    <comment ref="AL4" authorId="0">
      <text>
        <r>
          <rPr>
            <b/>
            <sz val="8"/>
            <rFont val="Tahoma"/>
            <family val="2"/>
          </rPr>
          <t>molchanov:</t>
        </r>
        <r>
          <rPr>
            <sz val="8"/>
            <rFont val="Tahoma"/>
            <family val="2"/>
          </rPr>
          <t xml:space="preserve">
Оцените достаточность производстводимых общественных благ в России</t>
        </r>
      </text>
    </comment>
    <comment ref="AM4" authorId="0">
      <text>
        <r>
          <rPr>
            <b/>
            <sz val="9"/>
            <rFont val="Tahoma"/>
            <family val="2"/>
          </rPr>
          <t>molchanov:</t>
        </r>
        <r>
          <rPr>
            <sz val="9"/>
            <rFont val="Tahoma"/>
            <family val="2"/>
          </rPr>
          <t xml:space="preserve">
Письменная работа 3. "Какие решения о производстве общественных благ можно принимать на местном уровне?</t>
        </r>
      </text>
    </comment>
    <comment ref="AN4" authorId="0">
      <text>
        <r>
          <rPr>
            <b/>
            <sz val="8"/>
            <rFont val="Tahoma"/>
            <family val="2"/>
          </rPr>
          <t>molchanov:</t>
        </r>
        <r>
          <rPr>
            <sz val="8"/>
            <rFont val="Tahoma"/>
            <family val="2"/>
          </rPr>
          <t xml:space="preserve">
Социальные последствия монетизации</t>
        </r>
      </text>
    </comment>
    <comment ref="AO4" authorId="0">
      <text>
        <r>
          <rPr>
            <b/>
            <sz val="8"/>
            <rFont val="Tahoma"/>
            <family val="2"/>
          </rPr>
          <t>molchanov:</t>
        </r>
        <r>
          <rPr>
            <sz val="8"/>
            <rFont val="Tahoma"/>
            <family val="2"/>
          </rPr>
          <t xml:space="preserve">
Нужна ли в России социальная ваучеризация?</t>
        </r>
      </text>
    </comment>
    <comment ref="AP4" authorId="0">
      <text>
        <r>
          <rPr>
            <b/>
            <sz val="8"/>
            <rFont val="Tahoma"/>
            <family val="2"/>
          </rPr>
          <t>molchanov:</t>
        </r>
        <r>
          <rPr>
            <sz val="8"/>
            <rFont val="Tahoma"/>
            <family val="2"/>
          </rPr>
          <t xml:space="preserve">
Необходимость повышения социальных налогов: последствия для отечественного бизнеса и социальных программ</t>
        </r>
      </text>
    </comment>
    <comment ref="AQ4" authorId="0">
      <text>
        <r>
          <rPr>
            <b/>
            <sz val="8"/>
            <rFont val="Tahoma"/>
            <family val="2"/>
          </rPr>
          <t>molchanov:</t>
        </r>
        <r>
          <rPr>
            <sz val="8"/>
            <rFont val="Tahoma"/>
            <family val="2"/>
          </rPr>
          <t xml:space="preserve">
Общественный выбор и избирательная активность (или Почему люди ходят (не ходят) на выборы?)
</t>
        </r>
      </text>
    </comment>
    <comment ref="AR4" authorId="0">
      <text>
        <r>
          <rPr>
            <b/>
            <sz val="8"/>
            <rFont val="Tahoma"/>
            <family val="2"/>
          </rPr>
          <t>molchanov:</t>
        </r>
        <r>
          <rPr>
            <sz val="8"/>
            <rFont val="Tahoma"/>
            <family val="2"/>
          </rPr>
          <t xml:space="preserve">
Как общество делает выбор между эффективностью и справедливостью налоговой системы?</t>
        </r>
      </text>
    </comment>
    <comment ref="AS4" authorId="0">
      <text>
        <r>
          <rPr>
            <b/>
            <sz val="8"/>
            <rFont val="Tahoma"/>
            <family val="2"/>
          </rPr>
          <t>molchanov:</t>
        </r>
        <r>
          <rPr>
            <sz val="8"/>
            <rFont val="Tahoma"/>
            <family val="2"/>
          </rPr>
          <t xml:space="preserve">
Общественные издержки уклонения от уплаты налогов</t>
        </r>
      </text>
    </comment>
    <comment ref="AT4" authorId="0">
      <text>
        <r>
          <rPr>
            <b/>
            <sz val="8"/>
            <rFont val="Tahoma"/>
            <family val="2"/>
          </rPr>
          <t>molchanov:</t>
        </r>
        <r>
          <rPr>
            <sz val="8"/>
            <rFont val="Tahoma"/>
            <family val="2"/>
          </rPr>
          <t xml:space="preserve">
Благотворительные организации. Их роль в производстве общественных благ</t>
        </r>
      </text>
    </comment>
    <comment ref="D4" authorId="0">
      <text>
        <r>
          <rPr>
            <b/>
            <sz val="8"/>
            <rFont val="Tahoma"/>
            <family val="2"/>
          </rPr>
          <t>molchanov:</t>
        </r>
        <r>
          <rPr>
            <sz val="8"/>
            <rFont val="Tahoma"/>
            <family val="2"/>
          </rPr>
          <t xml:space="preserve">
Э2</t>
        </r>
      </text>
    </comment>
    <comment ref="E4" authorId="0">
      <text>
        <r>
          <rPr>
            <b/>
            <sz val="8"/>
            <rFont val="Tahoma"/>
            <family val="2"/>
          </rPr>
          <t>molchanov:</t>
        </r>
        <r>
          <rPr>
            <sz val="8"/>
            <rFont val="Tahoma"/>
            <family val="2"/>
          </rPr>
          <t xml:space="preserve">
Э3</t>
        </r>
      </text>
    </comment>
    <comment ref="J4" authorId="0">
      <text>
        <r>
          <rPr>
            <b/>
            <sz val="9"/>
            <rFont val="Tahoma"/>
            <family val="2"/>
          </rPr>
          <t>molchanov:</t>
        </r>
        <r>
          <rPr>
            <sz val="9"/>
            <rFont val="Tahoma"/>
            <family val="2"/>
          </rPr>
          <t xml:space="preserve">
Э6</t>
        </r>
      </text>
    </comment>
    <comment ref="L4" authorId="0">
      <text>
        <r>
          <rPr>
            <b/>
            <sz val="8"/>
            <rFont val="Tahoma"/>
            <family val="2"/>
          </rPr>
          <t>molchanov:</t>
        </r>
        <r>
          <rPr>
            <sz val="8"/>
            <rFont val="Tahoma"/>
            <family val="2"/>
          </rPr>
          <t xml:space="preserve">
Э2</t>
        </r>
      </text>
    </comment>
    <comment ref="I4" authorId="0">
      <text>
        <r>
          <rPr>
            <b/>
            <sz val="9"/>
            <rFont val="Tahoma"/>
            <family val="2"/>
          </rPr>
          <t>molchanov:</t>
        </r>
        <r>
          <rPr>
            <sz val="9"/>
            <rFont val="Tahoma"/>
            <family val="2"/>
          </rPr>
          <t xml:space="preserve">
Э6</t>
        </r>
      </text>
    </comment>
    <comment ref="H4" authorId="0">
      <text>
        <r>
          <rPr>
            <b/>
            <sz val="9"/>
            <rFont val="Tahoma"/>
            <family val="2"/>
          </rPr>
          <t>molchanov:</t>
        </r>
        <r>
          <rPr>
            <sz val="9"/>
            <rFont val="Tahoma"/>
            <family val="2"/>
          </rPr>
          <t xml:space="preserve">
Э5</t>
        </r>
      </text>
    </comment>
    <comment ref="G4" authorId="0">
      <text>
        <r>
          <rPr>
            <b/>
            <sz val="8"/>
            <rFont val="Tahoma"/>
            <family val="2"/>
          </rPr>
          <t>molchanov:</t>
        </r>
        <r>
          <rPr>
            <sz val="8"/>
            <rFont val="Tahoma"/>
            <family val="2"/>
          </rPr>
          <t xml:space="preserve">
Э2</t>
        </r>
      </text>
    </comment>
    <comment ref="F4" authorId="0">
      <text>
        <r>
          <rPr>
            <b/>
            <sz val="8"/>
            <rFont val="Tahoma"/>
            <family val="2"/>
          </rPr>
          <t>molchanov:</t>
        </r>
        <r>
          <rPr>
            <sz val="8"/>
            <rFont val="Tahoma"/>
            <family val="2"/>
          </rPr>
          <t xml:space="preserve">
Э3</t>
        </r>
      </text>
    </comment>
  </commentList>
</comments>
</file>

<file path=xl/sharedStrings.xml><?xml version="1.0" encoding="utf-8"?>
<sst xmlns="http://schemas.openxmlformats.org/spreadsheetml/2006/main" count="135" uniqueCount="128">
  <si>
    <t>Ф.И.О.</t>
  </si>
  <si>
    <t>Контрольные</t>
  </si>
  <si>
    <t>3 (max=10)</t>
  </si>
  <si>
    <t xml:space="preserve">номер темы </t>
  </si>
  <si>
    <t>max балл=</t>
  </si>
  <si>
    <t>"5"=</t>
  </si>
  <si>
    <t>"4"=</t>
  </si>
  <si>
    <t>"3"=</t>
  </si>
  <si>
    <t>Индивид.</t>
  </si>
  <si>
    <t>сам.раб.</t>
  </si>
  <si>
    <t>Самостоятельная работа (max =3*10= 30)</t>
  </si>
  <si>
    <t>"2"=</t>
  </si>
  <si>
    <t>итоговые баллы за семестр (max=200)</t>
  </si>
  <si>
    <t>1 кредит = 36 часам = 50 баллам</t>
  </si>
  <si>
    <t>"1"=</t>
  </si>
  <si>
    <t>Итого (max=30)</t>
  </si>
  <si>
    <t>1-я оценка (max=10)</t>
  </si>
  <si>
    <t>2-я оценка (max=10)</t>
  </si>
  <si>
    <t>3-я оценка (max=10)</t>
  </si>
  <si>
    <t>Текущий контроль знаний (max=3)</t>
  </si>
  <si>
    <t>&lt;</t>
  </si>
  <si>
    <t>Экзамен 60 баллов       (30% от max)</t>
  </si>
  <si>
    <t>Презентации и контрольные работы</t>
  </si>
  <si>
    <t>Презентации (всего 73) (max=3 на чел.)</t>
  </si>
  <si>
    <t>Баллы (max=60)</t>
  </si>
  <si>
    <t>Баллы (max =30)</t>
  </si>
  <si>
    <t>Баллы (max=50)</t>
  </si>
  <si>
    <t>Итого аудиторная работа</t>
  </si>
  <si>
    <t>Аудиторная и внеаудиторная работа</t>
  </si>
  <si>
    <t>Курс 4 кредита</t>
  </si>
  <si>
    <t>он-экон</t>
  </si>
  <si>
    <t>Бонус</t>
  </si>
  <si>
    <t>ав</t>
  </si>
  <si>
    <t>18 марта</t>
  </si>
  <si>
    <t>1 апреля</t>
  </si>
  <si>
    <t>15 апреля</t>
  </si>
  <si>
    <t>29 апреля</t>
  </si>
  <si>
    <t>13 мая</t>
  </si>
  <si>
    <t>1 марта</t>
  </si>
  <si>
    <t>сентябрь</t>
  </si>
  <si>
    <t>октябрь</t>
  </si>
  <si>
    <t>ноябрь</t>
  </si>
  <si>
    <t>декабрь</t>
  </si>
  <si>
    <t>Аудиторная работа = 16 семинаров (max по 3 балла за занятие)</t>
  </si>
  <si>
    <t>Бонус (max=2)</t>
  </si>
  <si>
    <t>Оценка (85%-100%=5; 65%-85%=4; 40%-65%=3)</t>
  </si>
  <si>
    <t>иЧжан Дон Сок</t>
  </si>
  <si>
    <t>Абубекеров Камиль Рафаильевич</t>
  </si>
  <si>
    <t>Арчакова Иза Тархановна</t>
  </si>
  <si>
    <t>Банина Анна Анатольевна</t>
  </si>
  <si>
    <t>Бурдин Тихомир Тихомирович</t>
  </si>
  <si>
    <t>Девяткова Ксения Евгеньевна</t>
  </si>
  <si>
    <t>Ефремова Ангелина Александровна</t>
  </si>
  <si>
    <t>Ефремова Ольга Вячеславовна</t>
  </si>
  <si>
    <t>Зольванова Уля Александровна</t>
  </si>
  <si>
    <t>Казбекова Зарина Германовна</t>
  </si>
  <si>
    <t>Кереселидзе Софико Арчиловна</t>
  </si>
  <si>
    <t>Кияев Андрей Олегович</t>
  </si>
  <si>
    <t>Коваленко Константин Борисович</t>
  </si>
  <si>
    <t>Краснов Святослав Владимирович</t>
  </si>
  <si>
    <t>Кузнецова Мария Николаевна</t>
  </si>
  <si>
    <t>Никерова Полина Константиновна</t>
  </si>
  <si>
    <t>Озова Саният Аслановна</t>
  </si>
  <si>
    <t>Онищук Владимир Константинович</t>
  </si>
  <si>
    <t>Цухло Денис Сергеевич</t>
  </si>
  <si>
    <t>Яковлева Дарья Викторовна</t>
  </si>
  <si>
    <t>Яковлева Екатерина Владимировна</t>
  </si>
  <si>
    <r>
      <t>Группа э307</t>
    </r>
    <r>
      <rPr>
        <sz val="8"/>
        <rFont val="Arial Cyr"/>
        <family val="0"/>
      </rPr>
      <t xml:space="preserve"> (2016/2017 учебный год) Четверг 14.00-15.30 аудитория 545</t>
    </r>
    <r>
      <rPr>
        <b/>
        <sz val="8"/>
        <rFont val="Arial Cyr"/>
        <family val="0"/>
      </rPr>
      <t xml:space="preserve"> (4-я пара)</t>
    </r>
  </si>
  <si>
    <t>http://socsfera.narod.ru/xls/307_2017.xls</t>
  </si>
  <si>
    <t>2.1</t>
  </si>
  <si>
    <t>2.3</t>
  </si>
  <si>
    <t>2.2</t>
  </si>
  <si>
    <t>стажировка</t>
  </si>
  <si>
    <t>3.1.3</t>
  </si>
  <si>
    <t>3.1.1</t>
  </si>
  <si>
    <t>3.1.2</t>
  </si>
  <si>
    <t>2.4</t>
  </si>
  <si>
    <t>5.2</t>
  </si>
  <si>
    <t>3.3.3</t>
  </si>
  <si>
    <t>5.3</t>
  </si>
  <si>
    <t>3.1.4</t>
  </si>
  <si>
    <t>3.4.1</t>
  </si>
  <si>
    <t>5.1</t>
  </si>
  <si>
    <t>5.4</t>
  </si>
  <si>
    <t>3.2.3</t>
  </si>
  <si>
    <t>6.1.5</t>
  </si>
  <si>
    <t>10.1</t>
  </si>
  <si>
    <t>10.4</t>
  </si>
  <si>
    <t>7.2.2</t>
  </si>
  <si>
    <t>4.1</t>
  </si>
  <si>
    <t>7.3.1</t>
  </si>
  <si>
    <t>3.3.4</t>
  </si>
  <si>
    <t>3.4.3</t>
  </si>
  <si>
    <t>3.2.1</t>
  </si>
  <si>
    <t>3.2.2</t>
  </si>
  <si>
    <t>3.4.4</t>
  </si>
  <si>
    <t>6.1.2</t>
  </si>
  <si>
    <t>3.3.2</t>
  </si>
  <si>
    <t>3.4.2</t>
  </si>
  <si>
    <t>5.1.3</t>
  </si>
  <si>
    <t>4.2</t>
  </si>
  <si>
    <t>6.2.3</t>
  </si>
  <si>
    <t>8.1.5</t>
  </si>
  <si>
    <t>6.2.4</t>
  </si>
  <si>
    <t>8.3</t>
  </si>
  <si>
    <t>3.3.1</t>
  </si>
  <si>
    <t>7.1</t>
  </si>
  <si>
    <t>10.5</t>
  </si>
  <si>
    <t>9.2</t>
  </si>
  <si>
    <t>9.4</t>
  </si>
  <si>
    <t>10.3</t>
  </si>
  <si>
    <t>7.1.3</t>
  </si>
  <si>
    <t>8.1.4</t>
  </si>
  <si>
    <t>5.5</t>
  </si>
  <si>
    <t>6.1.6</t>
  </si>
  <si>
    <t>6.2.2</t>
  </si>
  <si>
    <t>6.1.1</t>
  </si>
  <si>
    <t>6.1.3</t>
  </si>
  <si>
    <t>6.2.1</t>
  </si>
  <si>
    <t>7.1.2</t>
  </si>
  <si>
    <t>6.1.4</t>
  </si>
  <si>
    <t>6.2.6</t>
  </si>
  <si>
    <t>с/т</t>
  </si>
  <si>
    <t>8.1.1</t>
  </si>
  <si>
    <t>7.3.4</t>
  </si>
  <si>
    <t>он экон</t>
  </si>
  <si>
    <t>избыток/недостаток</t>
  </si>
  <si>
    <t>s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</si>
</sst>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77">
    <font>
      <sz val="10"/>
      <name val="Arial Cyr"/>
      <family val="0"/>
    </font>
    <font>
      <sz val="12"/>
      <color indexed="8"/>
      <name val="Calibri"/>
      <family val="2"/>
    </font>
    <font>
      <sz val="8"/>
      <name val="Arial Cyr"/>
      <family val="0"/>
    </font>
    <font>
      <sz val="9"/>
      <name val="Arial Cyr"/>
      <family val="0"/>
    </font>
    <font>
      <sz val="5"/>
      <name val="Arial Cyr"/>
      <family val="0"/>
    </font>
    <font>
      <u val="single"/>
      <sz val="10"/>
      <color indexed="12"/>
      <name val="Arial Cyr"/>
      <family val="0"/>
    </font>
    <font>
      <b/>
      <sz val="6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sz val="6"/>
      <name val="Arial Cyr"/>
      <family val="0"/>
    </font>
    <font>
      <sz val="7"/>
      <color indexed="8"/>
      <name val="Arial Cyr"/>
      <family val="0"/>
    </font>
    <font>
      <sz val="7"/>
      <color indexed="10"/>
      <name val="Arial Cyr"/>
      <family val="0"/>
    </font>
    <font>
      <u val="single"/>
      <sz val="7"/>
      <color indexed="12"/>
      <name val="Arial Cyr"/>
      <family val="0"/>
    </font>
    <font>
      <sz val="5"/>
      <name val="Arial"/>
      <family val="2"/>
    </font>
    <font>
      <b/>
      <sz val="7"/>
      <name val="Bookman Old Style"/>
      <family val="1"/>
    </font>
    <font>
      <sz val="10"/>
      <name val="Bookman Old Style"/>
      <family val="1"/>
    </font>
    <font>
      <sz val="7"/>
      <name val="Bookman Old Style"/>
      <family val="1"/>
    </font>
    <font>
      <b/>
      <sz val="8"/>
      <name val="Bookman Old Style"/>
      <family val="1"/>
    </font>
    <font>
      <sz val="8"/>
      <name val="Bookman Old Style"/>
      <family val="1"/>
    </font>
    <font>
      <sz val="6"/>
      <name val="Times New Roman"/>
      <family val="1"/>
    </font>
    <font>
      <b/>
      <sz val="5"/>
      <name val="Arial Cyr"/>
      <family val="0"/>
    </font>
    <font>
      <sz val="8"/>
      <name val="Verdana"/>
      <family val="2"/>
    </font>
    <font>
      <sz val="5"/>
      <name val="Times New Roman"/>
      <family val="1"/>
    </font>
    <font>
      <sz val="5.5"/>
      <name val="Arial Cyr"/>
      <family val="0"/>
    </font>
    <font>
      <b/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7"/>
      <color indexed="8"/>
      <name val="Arial"/>
      <family val="2"/>
    </font>
    <font>
      <b/>
      <sz val="7"/>
      <color indexed="32"/>
      <name val="Verdana"/>
      <family val="2"/>
    </font>
    <font>
      <b/>
      <sz val="7"/>
      <color indexed="8"/>
      <name val="Verdana"/>
      <family val="2"/>
    </font>
    <font>
      <b/>
      <sz val="8"/>
      <color indexed="8"/>
      <name val="Verdana"/>
      <family val="2"/>
    </font>
    <font>
      <sz val="6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7"/>
      <color theme="1"/>
      <name val="Arial"/>
      <family val="2"/>
    </font>
    <font>
      <b/>
      <sz val="7"/>
      <color rgb="FF000080"/>
      <name val="Verdana"/>
      <family val="2"/>
    </font>
    <font>
      <b/>
      <sz val="7"/>
      <color theme="1"/>
      <name val="Verdana"/>
      <family val="2"/>
    </font>
    <font>
      <b/>
      <sz val="8"/>
      <color theme="1"/>
      <name val="Verdana"/>
      <family val="2"/>
    </font>
    <font>
      <sz val="7"/>
      <color theme="1"/>
      <name val="Arial Cyr"/>
      <family val="0"/>
    </font>
    <font>
      <sz val="6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7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textRotation="255"/>
    </xf>
    <xf numFmtId="1" fontId="8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right"/>
    </xf>
    <xf numFmtId="172" fontId="10" fillId="0" borderId="10" xfId="0" applyNumberFormat="1" applyFont="1" applyBorder="1" applyAlignment="1">
      <alignment horizontal="right"/>
    </xf>
    <xf numFmtId="2" fontId="11" fillId="0" borderId="10" xfId="0" applyNumberFormat="1" applyFont="1" applyBorder="1" applyAlignment="1">
      <alignment/>
    </xf>
    <xf numFmtId="2" fontId="7" fillId="33" borderId="10" xfId="0" applyNumberFormat="1" applyFont="1" applyFill="1" applyBorder="1" applyAlignment="1">
      <alignment horizontal="right"/>
    </xf>
    <xf numFmtId="49" fontId="10" fillId="33" borderId="10" xfId="0" applyNumberFormat="1" applyFont="1" applyFill="1" applyBorder="1" applyAlignment="1">
      <alignment horizontal="right"/>
    </xf>
    <xf numFmtId="172" fontId="10" fillId="33" borderId="10" xfId="0" applyNumberFormat="1" applyFont="1" applyFill="1" applyBorder="1" applyAlignment="1">
      <alignment horizontal="right"/>
    </xf>
    <xf numFmtId="2" fontId="11" fillId="33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right"/>
    </xf>
    <xf numFmtId="1" fontId="7" fillId="33" borderId="10" xfId="0" applyNumberFormat="1" applyFont="1" applyFill="1" applyBorder="1" applyAlignment="1">
      <alignment horizontal="right"/>
    </xf>
    <xf numFmtId="1" fontId="10" fillId="0" borderId="10" xfId="0" applyNumberFormat="1" applyFont="1" applyFill="1" applyBorder="1" applyAlignment="1">
      <alignment horizontal="right"/>
    </xf>
    <xf numFmtId="1" fontId="10" fillId="33" borderId="10" xfId="0" applyNumberFormat="1" applyFont="1" applyFill="1" applyBorder="1" applyAlignment="1">
      <alignment horizontal="right"/>
    </xf>
    <xf numFmtId="0" fontId="12" fillId="0" borderId="0" xfId="42" applyFont="1" applyAlignment="1" applyProtection="1">
      <alignment/>
      <protection/>
    </xf>
    <xf numFmtId="1" fontId="13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 wrapText="1"/>
    </xf>
    <xf numFmtId="172" fontId="9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5" fillId="0" borderId="0" xfId="42" applyAlignment="1" applyProtection="1">
      <alignment/>
      <protection/>
    </xf>
    <xf numFmtId="1" fontId="9" fillId="0" borderId="0" xfId="0" applyNumberFormat="1" applyFont="1" applyAlignment="1">
      <alignment/>
    </xf>
    <xf numFmtId="2" fontId="7" fillId="0" borderId="10" xfId="0" applyNumberFormat="1" applyFont="1" applyBorder="1" applyAlignment="1">
      <alignment/>
    </xf>
    <xf numFmtId="2" fontId="7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/>
    </xf>
    <xf numFmtId="0" fontId="19" fillId="33" borderId="10" xfId="0" applyFon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right"/>
    </xf>
    <xf numFmtId="1" fontId="7" fillId="0" borderId="10" xfId="0" applyNumberFormat="1" applyFont="1" applyFill="1" applyBorder="1" applyAlignment="1">
      <alignment horizontal="right"/>
    </xf>
    <xf numFmtId="0" fontId="21" fillId="34" borderId="10" xfId="0" applyFont="1" applyFill="1" applyBorder="1" applyAlignment="1">
      <alignment horizontal="left" wrapText="1"/>
    </xf>
    <xf numFmtId="0" fontId="21" fillId="35" borderId="10" xfId="0" applyFont="1" applyFill="1" applyBorder="1" applyAlignment="1">
      <alignment horizontal="left" wrapText="1"/>
    </xf>
    <xf numFmtId="0" fontId="22" fillId="0" borderId="10" xfId="0" applyFont="1" applyBorder="1" applyAlignment="1">
      <alignment/>
    </xf>
    <xf numFmtId="0" fontId="22" fillId="33" borderId="10" xfId="0" applyFont="1" applyFill="1" applyBorder="1" applyAlignment="1">
      <alignment/>
    </xf>
    <xf numFmtId="0" fontId="24" fillId="0" borderId="0" xfId="0" applyFont="1" applyAlignment="1">
      <alignment/>
    </xf>
    <xf numFmtId="0" fontId="69" fillId="0" borderId="10" xfId="0" applyFont="1" applyBorder="1" applyAlignment="1">
      <alignment/>
    </xf>
    <xf numFmtId="0" fontId="69" fillId="35" borderId="10" xfId="0" applyFont="1" applyFill="1" applyBorder="1" applyAlignment="1">
      <alignment/>
    </xf>
    <xf numFmtId="172" fontId="7" fillId="33" borderId="10" xfId="0" applyNumberFormat="1" applyFont="1" applyFill="1" applyBorder="1" applyAlignment="1">
      <alignment/>
    </xf>
    <xf numFmtId="172" fontId="7" fillId="0" borderId="10" xfId="0" applyNumberFormat="1" applyFont="1" applyBorder="1" applyAlignment="1">
      <alignment horizontal="right"/>
    </xf>
    <xf numFmtId="172" fontId="7" fillId="33" borderId="10" xfId="0" applyNumberFormat="1" applyFont="1" applyFill="1" applyBorder="1" applyAlignment="1">
      <alignment horizontal="right"/>
    </xf>
    <xf numFmtId="2" fontId="0" fillId="0" borderId="0" xfId="0" applyNumberForma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center" textRotation="90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7" fillId="35" borderId="10" xfId="0" applyFont="1" applyFill="1" applyBorder="1" applyAlignment="1">
      <alignment/>
    </xf>
    <xf numFmtId="0" fontId="2" fillId="36" borderId="0" xfId="0" applyFont="1" applyFill="1" applyAlignment="1">
      <alignment/>
    </xf>
    <xf numFmtId="172" fontId="0" fillId="36" borderId="0" xfId="0" applyNumberFormat="1" applyFill="1" applyAlignment="1">
      <alignment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0" fontId="7" fillId="36" borderId="0" xfId="0" applyFont="1" applyFill="1" applyAlignment="1">
      <alignment horizontal="right"/>
    </xf>
    <xf numFmtId="1" fontId="7" fillId="0" borderId="10" xfId="0" applyNumberFormat="1" applyFont="1" applyFill="1" applyBorder="1" applyAlignment="1">
      <alignment/>
    </xf>
    <xf numFmtId="0" fontId="70" fillId="35" borderId="10" xfId="0" applyFont="1" applyFill="1" applyBorder="1" applyAlignment="1">
      <alignment/>
    </xf>
    <xf numFmtId="0" fontId="71" fillId="0" borderId="10" xfId="0" applyFont="1" applyBorder="1" applyAlignment="1">
      <alignment/>
    </xf>
    <xf numFmtId="0" fontId="72" fillId="35" borderId="10" xfId="0" applyFont="1" applyFill="1" applyBorder="1" applyAlignment="1">
      <alignment/>
    </xf>
    <xf numFmtId="0" fontId="19" fillId="0" borderId="11" xfId="0" applyFont="1" applyBorder="1" applyAlignment="1">
      <alignment/>
    </xf>
    <xf numFmtId="0" fontId="19" fillId="33" borderId="11" xfId="0" applyFont="1" applyFill="1" applyBorder="1" applyAlignment="1">
      <alignment/>
    </xf>
    <xf numFmtId="0" fontId="4" fillId="0" borderId="10" xfId="0" applyFont="1" applyBorder="1" applyAlignment="1">
      <alignment/>
    </xf>
    <xf numFmtId="0" fontId="73" fillId="0" borderId="10" xfId="0" applyFont="1" applyBorder="1" applyAlignment="1">
      <alignment/>
    </xf>
    <xf numFmtId="0" fontId="74" fillId="0" borderId="10" xfId="0" applyFont="1" applyBorder="1" applyAlignment="1">
      <alignment/>
    </xf>
    <xf numFmtId="0" fontId="73" fillId="33" borderId="10" xfId="0" applyFont="1" applyFill="1" applyBorder="1" applyAlignment="1">
      <alignment/>
    </xf>
    <xf numFmtId="0" fontId="74" fillId="33" borderId="10" xfId="0" applyFont="1" applyFill="1" applyBorder="1" applyAlignment="1">
      <alignment/>
    </xf>
    <xf numFmtId="0" fontId="75" fillId="0" borderId="10" xfId="0" applyFont="1" applyBorder="1" applyAlignment="1">
      <alignment/>
    </xf>
    <xf numFmtId="0" fontId="76" fillId="0" borderId="10" xfId="0" applyFont="1" applyBorder="1" applyAlignment="1">
      <alignment/>
    </xf>
    <xf numFmtId="0" fontId="76" fillId="35" borderId="10" xfId="0" applyFont="1" applyFill="1" applyBorder="1" applyAlignment="1">
      <alignment/>
    </xf>
    <xf numFmtId="49" fontId="10" fillId="37" borderId="10" xfId="0" applyNumberFormat="1" applyFont="1" applyFill="1" applyBorder="1" applyAlignment="1">
      <alignment horizontal="right"/>
    </xf>
    <xf numFmtId="49" fontId="10" fillId="36" borderId="10" xfId="0" applyNumberFormat="1" applyFont="1" applyFill="1" applyBorder="1" applyAlignment="1">
      <alignment horizontal="right"/>
    </xf>
    <xf numFmtId="49" fontId="10" fillId="38" borderId="10" xfId="0" applyNumberFormat="1" applyFont="1" applyFill="1" applyBorder="1" applyAlignment="1">
      <alignment horizontal="right"/>
    </xf>
    <xf numFmtId="49" fontId="10" fillId="22" borderId="10" xfId="0" applyNumberFormat="1" applyFont="1" applyFill="1" applyBorder="1" applyAlignment="1">
      <alignment horizontal="right"/>
    </xf>
    <xf numFmtId="0" fontId="19" fillId="35" borderId="10" xfId="0" applyFont="1" applyFill="1" applyBorder="1" applyAlignment="1">
      <alignment/>
    </xf>
    <xf numFmtId="172" fontId="22" fillId="33" borderId="10" xfId="0" applyNumberFormat="1" applyFont="1" applyFill="1" applyBorder="1" applyAlignment="1">
      <alignment/>
    </xf>
    <xf numFmtId="172" fontId="19" fillId="33" borderId="10" xfId="0" applyNumberFormat="1" applyFont="1" applyFill="1" applyBorder="1" applyAlignment="1">
      <alignment/>
    </xf>
    <xf numFmtId="1" fontId="19" fillId="33" borderId="10" xfId="0" applyNumberFormat="1" applyFont="1" applyFill="1" applyBorder="1" applyAlignment="1">
      <alignment/>
    </xf>
    <xf numFmtId="172" fontId="7" fillId="36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7" fillId="0" borderId="0" xfId="0" applyFont="1" applyFill="1" applyAlignment="1">
      <alignment wrapText="1"/>
    </xf>
    <xf numFmtId="0" fontId="7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4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7" fillId="0" borderId="12" xfId="0" applyFont="1" applyBorder="1" applyAlignment="1">
      <alignment horizontal="center" vertical="center" textRotation="90" wrapText="1" readingOrder="1"/>
    </xf>
    <xf numFmtId="0" fontId="18" fillId="0" borderId="13" xfId="0" applyFont="1" applyBorder="1" applyAlignment="1">
      <alignment horizontal="center" vertical="center" textRotation="90" wrapText="1" readingOrder="1"/>
    </xf>
    <xf numFmtId="0" fontId="18" fillId="0" borderId="14" xfId="0" applyFont="1" applyBorder="1" applyAlignment="1">
      <alignment horizontal="center" vertical="center" textRotation="90" wrapText="1" readingOrder="1"/>
    </xf>
    <xf numFmtId="0" fontId="4" fillId="0" borderId="10" xfId="0" applyFont="1" applyBorder="1" applyAlignment="1">
      <alignment horizontal="center" wrapText="1"/>
    </xf>
    <xf numFmtId="2" fontId="14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ocsfera.narod.ru/xls/307_2017.xls" TargetMode="External" /><Relationship Id="rId2" Type="http://schemas.openxmlformats.org/officeDocument/2006/relationships/hyperlink" Target="http://www.econ.msu.ru/cd/434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73"/>
  <sheetViews>
    <sheetView tabSelected="1" zoomScalePageLayoutView="0" workbookViewId="0" topLeftCell="A1">
      <pane xSplit="2" ySplit="4" topLeftCell="AX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X19" sqref="AX19"/>
    </sheetView>
  </sheetViews>
  <sheetFormatPr defaultColWidth="8.875" defaultRowHeight="12.75"/>
  <cols>
    <col min="1" max="1" width="3.125" style="0" customWidth="1"/>
    <col min="2" max="2" width="31.875" style="0" customWidth="1"/>
    <col min="3" max="6" width="1.625" style="0" customWidth="1"/>
    <col min="7" max="7" width="1.4921875" style="0" customWidth="1"/>
    <col min="8" max="16" width="1.625" style="0" customWidth="1"/>
    <col min="17" max="17" width="1.625" style="0" hidden="1" customWidth="1"/>
    <col min="18" max="20" width="1.625" style="0" customWidth="1"/>
    <col min="21" max="23" width="4.875" style="0" customWidth="1"/>
    <col min="24" max="25" width="4.125" style="1" customWidth="1"/>
    <col min="26" max="26" width="3.875" style="1" customWidth="1"/>
    <col min="27" max="29" width="1.625" style="0" customWidth="1"/>
    <col min="30" max="30" width="3.625" style="0" customWidth="1"/>
    <col min="31" max="31" width="1.625" style="1" customWidth="1"/>
    <col min="32" max="33" width="1.625" style="0" customWidth="1"/>
    <col min="34" max="34" width="5.625" style="0" hidden="1" customWidth="1"/>
    <col min="35" max="35" width="3.125" style="0" customWidth="1"/>
    <col min="36" max="36" width="3.625" style="0" customWidth="1"/>
    <col min="37" max="46" width="1.625" style="0" customWidth="1"/>
    <col min="47" max="47" width="5.00390625" style="0" customWidth="1"/>
    <col min="48" max="48" width="5.375" style="0" hidden="1" customWidth="1"/>
    <col min="49" max="49" width="4.875" style="0" customWidth="1"/>
    <col min="50" max="50" width="5.50390625" style="0" customWidth="1"/>
    <col min="51" max="51" width="4.125" style="0" customWidth="1"/>
    <col min="52" max="54" width="5.50390625" style="0" hidden="1" customWidth="1"/>
    <col min="55" max="56" width="8.875" style="0" hidden="1" customWidth="1"/>
    <col min="57" max="62" width="2.625" style="62" hidden="1" customWidth="1"/>
    <col min="63" max="77" width="8.875" style="0" hidden="1" customWidth="1"/>
    <col min="78" max="105" width="8.875" style="0" customWidth="1"/>
    <col min="106" max="106" width="4.375" style="10" customWidth="1"/>
    <col min="107" max="107" width="4.75390625" style="10" customWidth="1"/>
    <col min="108" max="108" width="0" style="10" hidden="1" customWidth="1"/>
    <col min="109" max="16384" width="8.875" style="10" customWidth="1"/>
  </cols>
  <sheetData>
    <row r="1" spans="1:73" ht="12.75">
      <c r="A1" s="3"/>
      <c r="B1" s="55" t="s">
        <v>67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3"/>
      <c r="X1" s="15" t="s">
        <v>4</v>
      </c>
      <c r="Y1" s="3"/>
      <c r="Z1" s="13">
        <v>200</v>
      </c>
      <c r="AA1" s="3"/>
      <c r="AB1" s="3"/>
      <c r="AC1" s="16" t="s">
        <v>5</v>
      </c>
      <c r="AD1" s="17">
        <f>$Z$1*0.85</f>
        <v>170</v>
      </c>
      <c r="AE1" s="3"/>
      <c r="AF1" s="16" t="s">
        <v>6</v>
      </c>
      <c r="AH1" s="18">
        <f>$Z$1*0.6</f>
        <v>120</v>
      </c>
      <c r="AI1" s="17">
        <f>$Z$1*0.65</f>
        <v>130</v>
      </c>
      <c r="AJ1" s="18"/>
      <c r="AK1" s="16" t="s">
        <v>7</v>
      </c>
      <c r="AL1" s="18"/>
      <c r="AM1" s="38">
        <f>$Z$1*0.4</f>
        <v>80</v>
      </c>
      <c r="AN1" s="37"/>
      <c r="AO1" s="16"/>
      <c r="AP1" s="16"/>
      <c r="AQ1" s="17"/>
      <c r="AR1" s="40"/>
      <c r="AS1" s="16" t="s">
        <v>11</v>
      </c>
      <c r="AT1" s="17"/>
      <c r="AU1" s="40">
        <f>$Z$1*0.2</f>
        <v>40</v>
      </c>
      <c r="AV1" s="3"/>
      <c r="AW1" s="16" t="s">
        <v>14</v>
      </c>
      <c r="AX1" s="17" t="s">
        <v>20</v>
      </c>
      <c r="AY1" s="40">
        <f>$Z$1*0.2</f>
        <v>40</v>
      </c>
      <c r="BA1" s="10"/>
      <c r="BB1" s="10"/>
      <c r="BC1" s="10"/>
      <c r="BD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</row>
    <row r="2" spans="1:73" ht="12.75" customHeight="1">
      <c r="A2" s="99"/>
      <c r="B2" s="108" t="s">
        <v>0</v>
      </c>
      <c r="C2" s="102" t="s">
        <v>43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11" t="s">
        <v>26</v>
      </c>
      <c r="X2" s="105" t="s">
        <v>22</v>
      </c>
      <c r="Y2" s="106"/>
      <c r="Z2" s="106"/>
      <c r="AA2" s="106"/>
      <c r="AB2" s="106"/>
      <c r="AC2" s="106"/>
      <c r="AD2" s="106"/>
      <c r="AE2" s="107"/>
      <c r="AF2" s="107"/>
      <c r="AG2" s="107"/>
      <c r="AH2" s="107"/>
      <c r="AI2" s="107"/>
      <c r="AJ2" s="111" t="s">
        <v>24</v>
      </c>
      <c r="AK2" s="119" t="s">
        <v>28</v>
      </c>
      <c r="AL2" s="119"/>
      <c r="AM2" s="119"/>
      <c r="AN2" s="119"/>
      <c r="AO2" s="119"/>
      <c r="AP2" s="119"/>
      <c r="AQ2" s="119"/>
      <c r="AR2" s="119"/>
      <c r="AS2" s="119"/>
      <c r="AT2" s="119"/>
      <c r="AU2" s="111" t="s">
        <v>25</v>
      </c>
      <c r="AV2" s="20"/>
      <c r="AW2" s="116" t="s">
        <v>21</v>
      </c>
      <c r="AX2" s="120" t="s">
        <v>12</v>
      </c>
      <c r="AY2" s="114" t="s">
        <v>45</v>
      </c>
      <c r="AZ2" s="10"/>
      <c r="BA2" s="10"/>
      <c r="BB2" s="10"/>
      <c r="BC2" s="109" t="s">
        <v>30</v>
      </c>
      <c r="BD2" s="10" t="s">
        <v>31</v>
      </c>
      <c r="BE2" s="63">
        <v>3</v>
      </c>
      <c r="BF2" s="63">
        <v>4</v>
      </c>
      <c r="BG2" s="63">
        <v>5</v>
      </c>
      <c r="BH2" s="63">
        <v>6</v>
      </c>
      <c r="BI2" s="63">
        <v>7</v>
      </c>
      <c r="BJ2" s="63" t="s">
        <v>32</v>
      </c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</row>
    <row r="3" spans="1:73" ht="11.25" customHeight="1">
      <c r="A3" s="100"/>
      <c r="B3" s="100"/>
      <c r="C3" s="106" t="s">
        <v>39</v>
      </c>
      <c r="D3" s="106"/>
      <c r="E3" s="106"/>
      <c r="F3" s="106"/>
      <c r="G3" s="106" t="s">
        <v>40</v>
      </c>
      <c r="H3" s="106"/>
      <c r="I3" s="106"/>
      <c r="J3" s="106"/>
      <c r="K3" s="106" t="s">
        <v>41</v>
      </c>
      <c r="L3" s="106"/>
      <c r="M3" s="106"/>
      <c r="N3" s="106"/>
      <c r="O3" s="106"/>
      <c r="P3" s="122" t="s">
        <v>42</v>
      </c>
      <c r="Q3" s="123"/>
      <c r="R3" s="123"/>
      <c r="S3" s="123"/>
      <c r="T3" s="124"/>
      <c r="U3" s="103" t="s">
        <v>27</v>
      </c>
      <c r="V3" s="103" t="s">
        <v>44</v>
      </c>
      <c r="W3" s="111"/>
      <c r="X3" s="126" t="s">
        <v>23</v>
      </c>
      <c r="Y3" s="127"/>
      <c r="Z3" s="127"/>
      <c r="AA3" s="127"/>
      <c r="AB3" s="127"/>
      <c r="AC3" s="127"/>
      <c r="AD3" s="127"/>
      <c r="AE3" s="125" t="s">
        <v>1</v>
      </c>
      <c r="AF3" s="102"/>
      <c r="AG3" s="102"/>
      <c r="AH3" s="102"/>
      <c r="AI3" s="102"/>
      <c r="AJ3" s="111"/>
      <c r="AK3" s="119" t="s">
        <v>19</v>
      </c>
      <c r="AL3" s="119"/>
      <c r="AM3" s="119"/>
      <c r="AN3" s="119"/>
      <c r="AO3" s="119"/>
      <c r="AP3" s="119"/>
      <c r="AQ3" s="119"/>
      <c r="AR3" s="119"/>
      <c r="AS3" s="119"/>
      <c r="AT3" s="119"/>
      <c r="AU3" s="112"/>
      <c r="AV3" s="103" t="s">
        <v>10</v>
      </c>
      <c r="AW3" s="117"/>
      <c r="AX3" s="121"/>
      <c r="AY3" s="115"/>
      <c r="AZ3" s="11"/>
      <c r="BA3" s="10"/>
      <c r="BB3" s="10"/>
      <c r="BC3" s="110"/>
      <c r="BD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</row>
    <row r="4" spans="1:107" ht="78" customHeight="1">
      <c r="A4" s="101"/>
      <c r="B4" s="101"/>
      <c r="C4" s="34">
        <v>8</v>
      </c>
      <c r="D4" s="34">
        <f>C4+7</f>
        <v>15</v>
      </c>
      <c r="E4" s="34">
        <f>D4+7</f>
        <v>22</v>
      </c>
      <c r="F4" s="34">
        <f>E4+7</f>
        <v>29</v>
      </c>
      <c r="G4" s="34">
        <v>6</v>
      </c>
      <c r="H4" s="35">
        <f>G4+7</f>
        <v>13</v>
      </c>
      <c r="I4" s="35">
        <f>H4+7</f>
        <v>20</v>
      </c>
      <c r="J4" s="35">
        <f>I4+7</f>
        <v>27</v>
      </c>
      <c r="K4" s="35">
        <v>3</v>
      </c>
      <c r="L4" s="34">
        <f>K4+7</f>
        <v>10</v>
      </c>
      <c r="M4" s="35">
        <f>L4+7</f>
        <v>17</v>
      </c>
      <c r="N4" s="35">
        <f>M4+7</f>
        <v>24</v>
      </c>
      <c r="O4" s="35">
        <v>1</v>
      </c>
      <c r="P4" s="35">
        <v>8</v>
      </c>
      <c r="Q4" s="35"/>
      <c r="R4" s="35">
        <v>15</v>
      </c>
      <c r="S4" s="35">
        <f>R4+7</f>
        <v>22</v>
      </c>
      <c r="T4" s="35">
        <f>S4+7</f>
        <v>29</v>
      </c>
      <c r="U4" s="113"/>
      <c r="V4" s="104"/>
      <c r="W4" s="111"/>
      <c r="X4" s="45" t="s">
        <v>3</v>
      </c>
      <c r="Y4" s="45" t="s">
        <v>3</v>
      </c>
      <c r="Z4" s="45" t="s">
        <v>3</v>
      </c>
      <c r="AA4" s="36" t="s">
        <v>16</v>
      </c>
      <c r="AB4" s="36" t="s">
        <v>17</v>
      </c>
      <c r="AC4" s="36" t="s">
        <v>18</v>
      </c>
      <c r="AD4" s="44" t="s">
        <v>15</v>
      </c>
      <c r="AE4" s="36" t="s">
        <v>16</v>
      </c>
      <c r="AF4" s="36" t="s">
        <v>17</v>
      </c>
      <c r="AG4" s="36" t="s">
        <v>18</v>
      </c>
      <c r="AH4" s="19" t="s">
        <v>2</v>
      </c>
      <c r="AI4" s="44" t="s">
        <v>15</v>
      </c>
      <c r="AJ4" s="111"/>
      <c r="AK4" s="14">
        <v>1</v>
      </c>
      <c r="AL4" s="14">
        <v>2</v>
      </c>
      <c r="AM4" s="14">
        <v>3</v>
      </c>
      <c r="AN4" s="14">
        <v>4</v>
      </c>
      <c r="AO4" s="14">
        <v>5</v>
      </c>
      <c r="AP4" s="14">
        <v>6</v>
      </c>
      <c r="AQ4" s="14">
        <v>7</v>
      </c>
      <c r="AR4" s="14">
        <v>8</v>
      </c>
      <c r="AS4" s="14">
        <v>9</v>
      </c>
      <c r="AT4" s="48">
        <v>10</v>
      </c>
      <c r="AU4" s="112"/>
      <c r="AV4" s="107"/>
      <c r="AW4" s="118"/>
      <c r="AX4" s="121"/>
      <c r="AY4" s="115"/>
      <c r="AZ4" s="11"/>
      <c r="BA4" s="12" t="s">
        <v>8</v>
      </c>
      <c r="BB4" s="10"/>
      <c r="BC4" s="10">
        <v>12</v>
      </c>
      <c r="BD4" s="10"/>
      <c r="BE4" s="64" t="s">
        <v>33</v>
      </c>
      <c r="BF4" s="64" t="s">
        <v>34</v>
      </c>
      <c r="BG4" s="64" t="s">
        <v>35</v>
      </c>
      <c r="BH4" s="64" t="s">
        <v>36</v>
      </c>
      <c r="BI4" s="64" t="s">
        <v>37</v>
      </c>
      <c r="BJ4" s="64" t="s">
        <v>38</v>
      </c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DB4" s="96" t="s">
        <v>125</v>
      </c>
      <c r="DC4" s="98" t="s">
        <v>126</v>
      </c>
    </row>
    <row r="5" spans="1:108" ht="12.75" customHeight="1">
      <c r="A5" s="80">
        <v>1</v>
      </c>
      <c r="B5" s="85" t="s">
        <v>47</v>
      </c>
      <c r="C5" s="81">
        <f>IF(AK5&gt;0,3,0)</f>
        <v>3</v>
      </c>
      <c r="D5" s="77">
        <v>3</v>
      </c>
      <c r="E5" s="46">
        <v>3</v>
      </c>
      <c r="F5" s="46">
        <v>1</v>
      </c>
      <c r="G5" s="46">
        <v>2.5</v>
      </c>
      <c r="H5" s="46">
        <v>1</v>
      </c>
      <c r="I5" s="46">
        <v>3</v>
      </c>
      <c r="J5" s="46">
        <v>3</v>
      </c>
      <c r="K5" s="46"/>
      <c r="L5" s="46">
        <v>3</v>
      </c>
      <c r="M5" s="46">
        <v>3</v>
      </c>
      <c r="N5" s="46">
        <v>3</v>
      </c>
      <c r="O5" s="46">
        <v>2</v>
      </c>
      <c r="P5" s="46">
        <v>3</v>
      </c>
      <c r="Q5" s="46"/>
      <c r="R5" s="46">
        <v>3</v>
      </c>
      <c r="S5" s="46">
        <v>3</v>
      </c>
      <c r="T5" s="46">
        <f>IF(AF5&gt;0,1,0)</f>
        <v>1</v>
      </c>
      <c r="U5" s="20">
        <f>SUM(C5:T5)</f>
        <v>40.5</v>
      </c>
      <c r="V5" s="49">
        <f>2+2+2</f>
        <v>6</v>
      </c>
      <c r="W5" s="59">
        <f>((U5)*50/51)+V5</f>
        <v>45.705882352941174</v>
      </c>
      <c r="X5" s="87" t="s">
        <v>77</v>
      </c>
      <c r="Y5" s="22" t="s">
        <v>111</v>
      </c>
      <c r="Z5" s="22" t="s">
        <v>122</v>
      </c>
      <c r="AA5" s="53">
        <v>10</v>
      </c>
      <c r="AB5" s="53">
        <v>10</v>
      </c>
      <c r="AC5" s="53">
        <v>10</v>
      </c>
      <c r="AD5" s="95">
        <f>SUM(AA5:AC5)</f>
        <v>30</v>
      </c>
      <c r="AE5" s="53">
        <v>8.5</v>
      </c>
      <c r="AF5" s="53">
        <v>15</v>
      </c>
      <c r="AG5" s="53">
        <f>$BC$4</f>
        <v>12</v>
      </c>
      <c r="AH5" s="23"/>
      <c r="AI5" s="2">
        <f>SUM(AE5:AH5)</f>
        <v>35.5</v>
      </c>
      <c r="AJ5" s="20">
        <f>(AD5+AI5)*50/50</f>
        <v>65.5</v>
      </c>
      <c r="AK5" s="46">
        <v>3</v>
      </c>
      <c r="AL5" s="46">
        <v>3</v>
      </c>
      <c r="AM5" s="46">
        <v>2</v>
      </c>
      <c r="AN5" s="46">
        <v>2</v>
      </c>
      <c r="AO5" s="46">
        <v>2</v>
      </c>
      <c r="AP5" s="46">
        <v>2</v>
      </c>
      <c r="AQ5" s="46">
        <v>2</v>
      </c>
      <c r="AR5" s="46">
        <v>2</v>
      </c>
      <c r="AS5" s="46">
        <v>2</v>
      </c>
      <c r="AT5" s="46">
        <v>2</v>
      </c>
      <c r="AU5" s="20">
        <f>SUM(AK5:AT5)</f>
        <v>22</v>
      </c>
      <c r="AV5" s="2"/>
      <c r="AW5" s="7">
        <f>10+20+10</f>
        <v>40</v>
      </c>
      <c r="AX5" s="24">
        <f>W5+AJ5+AU5+AW5</f>
        <v>173.20588235294116</v>
      </c>
      <c r="AY5" s="2">
        <f>IF(AX5&gt;=BA5*0.85,5,IF(AX5&gt;=BA5*0.65,4,IF(AX5&gt;=BA5*0.4,3,2)))</f>
        <v>5</v>
      </c>
      <c r="AZ5" s="8"/>
      <c r="BA5" s="9">
        <f>$Z$1</f>
        <v>200</v>
      </c>
      <c r="BB5" s="10"/>
      <c r="BC5" s="10">
        <v>111</v>
      </c>
      <c r="BD5" s="61">
        <f>BC5-AX5</f>
        <v>-62.20588235294116</v>
      </c>
      <c r="BE5" s="65"/>
      <c r="BF5" s="65"/>
      <c r="BG5" s="65"/>
      <c r="BH5" s="65"/>
      <c r="BI5" s="65"/>
      <c r="BJ5" s="65">
        <v>2</v>
      </c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DB5" s="96">
        <v>109</v>
      </c>
      <c r="DC5" s="97">
        <f>DB5-AX5</f>
        <v>-64.20588235294116</v>
      </c>
      <c r="DD5" s="49">
        <f>2.19+8</f>
        <v>10.19</v>
      </c>
    </row>
    <row r="6" spans="1:108" ht="12.75" customHeight="1">
      <c r="A6" s="82">
        <f>A5+1</f>
        <v>2</v>
      </c>
      <c r="B6" s="86" t="s">
        <v>48</v>
      </c>
      <c r="C6" s="83">
        <f>IF(AK6&gt;0,3,0)</f>
        <v>0</v>
      </c>
      <c r="D6" s="78">
        <v>1</v>
      </c>
      <c r="E6" s="47">
        <v>1</v>
      </c>
      <c r="F6" s="47">
        <v>1</v>
      </c>
      <c r="G6" s="47">
        <v>2</v>
      </c>
      <c r="H6" s="47">
        <v>3</v>
      </c>
      <c r="I6" s="47">
        <v>1</v>
      </c>
      <c r="J6" s="47">
        <v>0</v>
      </c>
      <c r="K6" s="47">
        <v>3</v>
      </c>
      <c r="L6" s="47">
        <v>1</v>
      </c>
      <c r="M6" s="47">
        <v>0</v>
      </c>
      <c r="N6" s="47">
        <v>1</v>
      </c>
      <c r="O6" s="47">
        <v>1</v>
      </c>
      <c r="P6" s="47">
        <v>3</v>
      </c>
      <c r="Q6" s="47"/>
      <c r="R6" s="47">
        <v>0</v>
      </c>
      <c r="S6" s="47">
        <v>3</v>
      </c>
      <c r="T6" s="91">
        <f>IF(AF6&gt;0,1,0)</f>
        <v>1</v>
      </c>
      <c r="U6" s="58">
        <f>SUM(C6:T6)</f>
        <v>22</v>
      </c>
      <c r="V6" s="30">
        <f>2+2+2</f>
        <v>6</v>
      </c>
      <c r="W6" s="60">
        <f>((U6)*50/51)+V6</f>
        <v>27.568627450980394</v>
      </c>
      <c r="X6" s="87" t="s">
        <v>78</v>
      </c>
      <c r="Y6" s="88" t="s">
        <v>103</v>
      </c>
      <c r="Z6" s="88" t="s">
        <v>123</v>
      </c>
      <c r="AA6" s="54">
        <v>10</v>
      </c>
      <c r="AB6" s="54">
        <v>10</v>
      </c>
      <c r="AC6" s="54">
        <v>10</v>
      </c>
      <c r="AD6" s="58">
        <f>SUM(AA6:AC6)</f>
        <v>30</v>
      </c>
      <c r="AE6" s="54">
        <v>9</v>
      </c>
      <c r="AF6" s="54">
        <v>14</v>
      </c>
      <c r="AG6" s="53">
        <f>$BC$4</f>
        <v>12</v>
      </c>
      <c r="AH6" s="27"/>
      <c r="AI6" s="5">
        <f>SUM(AE6:AG6)</f>
        <v>35</v>
      </c>
      <c r="AJ6" s="58">
        <f>(AD6+AI6)*50/50</f>
        <v>65</v>
      </c>
      <c r="AK6" s="47"/>
      <c r="AL6" s="47">
        <v>3</v>
      </c>
      <c r="AM6" s="47">
        <v>2</v>
      </c>
      <c r="AN6" s="47">
        <v>3</v>
      </c>
      <c r="AO6" s="47">
        <v>3</v>
      </c>
      <c r="AP6" s="47">
        <v>2</v>
      </c>
      <c r="AQ6" s="47">
        <v>3</v>
      </c>
      <c r="AR6" s="47">
        <v>2</v>
      </c>
      <c r="AS6" s="47">
        <v>3</v>
      </c>
      <c r="AT6" s="47" t="s">
        <v>127</v>
      </c>
      <c r="AU6" s="58">
        <f>SUM(AK6:AT6)</f>
        <v>21</v>
      </c>
      <c r="AV6" s="5"/>
      <c r="AW6" s="67">
        <f>20+12+15</f>
        <v>47</v>
      </c>
      <c r="AX6" s="28">
        <f>W6+AJ6+AU6+AW6</f>
        <v>160.5686274509804</v>
      </c>
      <c r="AY6" s="5">
        <f>IF(AX6&gt;=BA6*0.85,5,IF(AX6&gt;=BA6*0.65,4,IF(AX6&gt;=BA6*0.4,3,2)))</f>
        <v>4</v>
      </c>
      <c r="AZ6" s="8"/>
      <c r="BA6" s="9">
        <f>$Z$1</f>
        <v>200</v>
      </c>
      <c r="BB6" s="10"/>
      <c r="BC6" s="10">
        <v>64</v>
      </c>
      <c r="BD6" s="61">
        <f>BC6-AX6</f>
        <v>-96.56862745098039</v>
      </c>
      <c r="BE6" s="65">
        <v>2</v>
      </c>
      <c r="BF6" s="65">
        <v>2</v>
      </c>
      <c r="BG6" s="65">
        <v>2</v>
      </c>
      <c r="BH6" s="65">
        <v>2</v>
      </c>
      <c r="BI6" s="65">
        <v>2</v>
      </c>
      <c r="BJ6" s="65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96">
        <v>105</v>
      </c>
      <c r="DC6" s="97">
        <f aca="true" t="shared" si="0" ref="DC6:DC25">DB6-AX6</f>
        <v>-55.56862745098039</v>
      </c>
      <c r="DD6" s="30">
        <v>5.55</v>
      </c>
    </row>
    <row r="7" spans="1:108" ht="12.75" customHeight="1">
      <c r="A7" s="80">
        <f>A6+1</f>
        <v>3</v>
      </c>
      <c r="B7" s="85" t="s">
        <v>49</v>
      </c>
      <c r="C7" s="81">
        <f>IF(AK7&gt;0,3,0)</f>
        <v>0</v>
      </c>
      <c r="D7" s="77">
        <v>0</v>
      </c>
      <c r="E7" s="46">
        <v>0</v>
      </c>
      <c r="F7" s="46">
        <v>0</v>
      </c>
      <c r="G7" s="46">
        <v>2</v>
      </c>
      <c r="H7" s="46">
        <v>0</v>
      </c>
      <c r="I7" s="46">
        <v>0</v>
      </c>
      <c r="J7" s="46">
        <v>0</v>
      </c>
      <c r="K7" s="46"/>
      <c r="L7" s="46">
        <v>1</v>
      </c>
      <c r="M7" s="46">
        <v>0</v>
      </c>
      <c r="N7" s="46">
        <v>0</v>
      </c>
      <c r="O7" s="46">
        <v>1</v>
      </c>
      <c r="P7" s="46">
        <v>0</v>
      </c>
      <c r="Q7" s="46"/>
      <c r="R7" s="46">
        <v>3</v>
      </c>
      <c r="S7" s="46">
        <v>3</v>
      </c>
      <c r="T7" s="46">
        <f>IF(AF7&gt;0,1,0)</f>
        <v>1</v>
      </c>
      <c r="U7" s="20">
        <f>SUM(C7:T7)</f>
        <v>11</v>
      </c>
      <c r="V7" s="49"/>
      <c r="W7" s="59">
        <f>((U7)*50/51)+V7</f>
        <v>10.784313725490197</v>
      </c>
      <c r="X7" s="88" t="s">
        <v>106</v>
      </c>
      <c r="Y7" s="88" t="s">
        <v>104</v>
      </c>
      <c r="Z7" s="88" t="s">
        <v>107</v>
      </c>
      <c r="AA7" s="53">
        <v>10</v>
      </c>
      <c r="AB7" s="53">
        <v>10</v>
      </c>
      <c r="AC7" s="53"/>
      <c r="AD7" s="20">
        <f>SUM(AA7:AC7)</f>
        <v>20</v>
      </c>
      <c r="AE7" s="53">
        <v>9</v>
      </c>
      <c r="AF7" s="53">
        <v>15</v>
      </c>
      <c r="AG7" s="53">
        <f>$BC$4</f>
        <v>12</v>
      </c>
      <c r="AH7" s="23"/>
      <c r="AI7" s="2">
        <f>SUM(AE7:AH7)</f>
        <v>36</v>
      </c>
      <c r="AJ7" s="20">
        <f>(AD7+AI7)*50/50</f>
        <v>56</v>
      </c>
      <c r="AK7" s="46"/>
      <c r="AL7" s="46"/>
      <c r="AM7" s="46"/>
      <c r="AN7" s="46"/>
      <c r="AO7" s="46"/>
      <c r="AP7" s="46">
        <v>0.01</v>
      </c>
      <c r="AQ7" s="46"/>
      <c r="AR7" s="46"/>
      <c r="AS7" s="46"/>
      <c r="AT7" s="46"/>
      <c r="AU7" s="20">
        <f>SUM(AK7:AT7)</f>
        <v>0.01</v>
      </c>
      <c r="AV7" s="2"/>
      <c r="AW7" s="73">
        <f>18+20+20</f>
        <v>58</v>
      </c>
      <c r="AX7" s="24">
        <f>W7+AJ7+AU7+AW7</f>
        <v>124.7943137254902</v>
      </c>
      <c r="AY7" s="2">
        <f>IF(AX7&gt;=BA7*0.85,5,IF(AX7&gt;=BA7*0.65,4,IF(AX7&gt;=BA7*0.4,3,2)))</f>
        <v>3</v>
      </c>
      <c r="AZ7" s="8"/>
      <c r="BA7" s="9">
        <f>$Z$1</f>
        <v>200</v>
      </c>
      <c r="BB7" s="10"/>
      <c r="BC7" s="10">
        <v>124</v>
      </c>
      <c r="BD7" s="61">
        <f>BC7-AX7</f>
        <v>-0.7943137254901984</v>
      </c>
      <c r="BE7" s="65"/>
      <c r="BF7" s="65">
        <v>2</v>
      </c>
      <c r="BG7" s="65"/>
      <c r="BH7" s="65">
        <v>2</v>
      </c>
      <c r="BI7" s="65"/>
      <c r="BJ7" s="65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DB7" s="96">
        <v>55</v>
      </c>
      <c r="DC7" s="97">
        <f t="shared" si="0"/>
        <v>-69.7943137254902</v>
      </c>
      <c r="DD7" s="49">
        <v>6.41</v>
      </c>
    </row>
    <row r="8" spans="1:108" ht="12.75" customHeight="1">
      <c r="A8" s="82">
        <f>A7+1</f>
        <v>4</v>
      </c>
      <c r="B8" s="86" t="s">
        <v>50</v>
      </c>
      <c r="C8" s="83">
        <f>IF(AK8&gt;0,3,0)</f>
        <v>3</v>
      </c>
      <c r="D8" s="78">
        <v>3</v>
      </c>
      <c r="E8" s="47">
        <v>3</v>
      </c>
      <c r="F8" s="47">
        <v>3</v>
      </c>
      <c r="G8" s="47">
        <v>3</v>
      </c>
      <c r="H8" s="47">
        <v>3</v>
      </c>
      <c r="I8" s="47">
        <v>2.5</v>
      </c>
      <c r="J8" s="47">
        <v>2.5</v>
      </c>
      <c r="K8" s="47">
        <v>3</v>
      </c>
      <c r="L8" s="47">
        <v>1</v>
      </c>
      <c r="M8" s="47">
        <v>3</v>
      </c>
      <c r="N8" s="47">
        <v>1</v>
      </c>
      <c r="O8" s="47">
        <v>3</v>
      </c>
      <c r="P8" s="47">
        <v>2</v>
      </c>
      <c r="Q8" s="47"/>
      <c r="R8" s="47">
        <v>3</v>
      </c>
      <c r="S8" s="47">
        <v>3</v>
      </c>
      <c r="T8" s="91">
        <f>IF(AF8&gt;0,1,0)</f>
        <v>1</v>
      </c>
      <c r="U8" s="58">
        <f>SUM(C8:T8)</f>
        <v>43</v>
      </c>
      <c r="V8" s="30">
        <f>2+2+3+2+2</f>
        <v>11</v>
      </c>
      <c r="W8" s="60">
        <f>((U8)*50/51)+V8</f>
        <v>53.15686274509804</v>
      </c>
      <c r="X8" s="87" t="s">
        <v>84</v>
      </c>
      <c r="Y8" s="89" t="s">
        <v>85</v>
      </c>
      <c r="Z8" s="88" t="s">
        <v>86</v>
      </c>
      <c r="AA8" s="54">
        <v>10</v>
      </c>
      <c r="AB8" s="54">
        <v>10</v>
      </c>
      <c r="AC8" s="54">
        <v>10</v>
      </c>
      <c r="AD8" s="95">
        <f>SUM(AA8:AC8)</f>
        <v>30</v>
      </c>
      <c r="AE8" s="54">
        <v>9.5</v>
      </c>
      <c r="AF8" s="54">
        <v>17</v>
      </c>
      <c r="AG8" s="53">
        <f>$BC$4</f>
        <v>12</v>
      </c>
      <c r="AH8" s="5"/>
      <c r="AI8" s="5">
        <f>SUM(AE8:AG8)</f>
        <v>38.5</v>
      </c>
      <c r="AJ8" s="58">
        <f>(AD8+AI8)*50/50</f>
        <v>68.5</v>
      </c>
      <c r="AK8" s="47">
        <v>3</v>
      </c>
      <c r="AL8" s="47"/>
      <c r="AM8" s="47"/>
      <c r="AN8" s="47"/>
      <c r="AO8" s="47"/>
      <c r="AP8" s="47">
        <v>3</v>
      </c>
      <c r="AQ8" s="47">
        <v>3</v>
      </c>
      <c r="AR8" s="47">
        <v>3</v>
      </c>
      <c r="AS8" s="47">
        <v>3</v>
      </c>
      <c r="AT8" s="47">
        <v>3</v>
      </c>
      <c r="AU8" s="58">
        <f>SUM(AK8:AT8)</f>
        <v>18</v>
      </c>
      <c r="AV8" s="5"/>
      <c r="AW8" s="67">
        <f>18+15+0</f>
        <v>33</v>
      </c>
      <c r="AX8" s="28">
        <f>W8+AJ8+AU8+AW8</f>
        <v>172.65686274509804</v>
      </c>
      <c r="AY8" s="5">
        <f>IF(AX8&gt;=BA8*0.85,5,IF(AX8&gt;=BA8*0.65,4,IF(AX8&gt;=BA8*0.4,3,2)))</f>
        <v>5</v>
      </c>
      <c r="AZ8" s="8"/>
      <c r="BA8" s="9">
        <f>$Z$1</f>
        <v>200</v>
      </c>
      <c r="BB8" s="10"/>
      <c r="BC8" s="10">
        <v>81</v>
      </c>
      <c r="BD8" s="61">
        <f>BC8-AX8</f>
        <v>-91.65686274509804</v>
      </c>
      <c r="BE8" s="65"/>
      <c r="BF8" s="65"/>
      <c r="BG8" s="65"/>
      <c r="BH8" s="65"/>
      <c r="BI8" s="65"/>
      <c r="BJ8" s="65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96">
        <v>129</v>
      </c>
      <c r="DC8" s="97">
        <f t="shared" si="0"/>
        <v>-43.65686274509804</v>
      </c>
      <c r="DD8" s="30">
        <v>6.94</v>
      </c>
    </row>
    <row r="9" spans="1:108" ht="12.75" customHeight="1">
      <c r="A9" s="80">
        <f>A8+1</f>
        <v>5</v>
      </c>
      <c r="B9" s="85" t="s">
        <v>51</v>
      </c>
      <c r="C9" s="81">
        <f>IF(AK9&gt;0,3,0)</f>
        <v>0</v>
      </c>
      <c r="D9" s="77">
        <v>0</v>
      </c>
      <c r="E9" s="46">
        <v>0</v>
      </c>
      <c r="F9" s="46">
        <v>0</v>
      </c>
      <c r="G9" s="46">
        <v>1.5</v>
      </c>
      <c r="H9" s="46">
        <v>0</v>
      </c>
      <c r="I9" s="46">
        <v>1</v>
      </c>
      <c r="J9" s="46">
        <v>0</v>
      </c>
      <c r="K9" s="46"/>
      <c r="L9" s="46">
        <v>2</v>
      </c>
      <c r="M9" s="46">
        <v>1</v>
      </c>
      <c r="N9" s="46">
        <v>0</v>
      </c>
      <c r="O9" s="46">
        <v>0</v>
      </c>
      <c r="P9" s="46">
        <v>0</v>
      </c>
      <c r="Q9" s="46"/>
      <c r="R9" s="46">
        <v>3</v>
      </c>
      <c r="S9" s="46">
        <v>0</v>
      </c>
      <c r="T9" s="46">
        <v>3</v>
      </c>
      <c r="U9" s="20">
        <f>SUM(C9:T9)</f>
        <v>11.5</v>
      </c>
      <c r="V9" s="49"/>
      <c r="W9" s="59">
        <f>((U9)*50/51)+V9</f>
        <v>11.27450980392157</v>
      </c>
      <c r="X9" s="88" t="s">
        <v>108</v>
      </c>
      <c r="Y9" s="88" t="s">
        <v>109</v>
      </c>
      <c r="Z9" s="88" t="s">
        <v>110</v>
      </c>
      <c r="AA9" s="53">
        <v>10</v>
      </c>
      <c r="AB9" s="53">
        <v>10</v>
      </c>
      <c r="AC9" s="53">
        <v>10</v>
      </c>
      <c r="AD9" s="95">
        <f>SUM(AA9:AC9)</f>
        <v>30</v>
      </c>
      <c r="AE9" s="53">
        <v>8</v>
      </c>
      <c r="AF9" s="53">
        <v>15</v>
      </c>
      <c r="AG9" s="53">
        <f>$BC$4</f>
        <v>12</v>
      </c>
      <c r="AH9" s="23"/>
      <c r="AI9" s="2">
        <f>SUM(AE9:AH9)</f>
        <v>35</v>
      </c>
      <c r="AJ9" s="20">
        <f>(AD9+AI9)*50/50</f>
        <v>65</v>
      </c>
      <c r="AK9" s="46"/>
      <c r="AL9" s="46"/>
      <c r="AM9" s="46"/>
      <c r="AN9" s="46"/>
      <c r="AO9" s="46"/>
      <c r="AP9" s="46">
        <v>3</v>
      </c>
      <c r="AQ9" s="46"/>
      <c r="AR9" s="46"/>
      <c r="AS9" s="46"/>
      <c r="AT9" s="46"/>
      <c r="AU9" s="20">
        <f>SUM(AK9:AT9)</f>
        <v>3</v>
      </c>
      <c r="AV9" s="2"/>
      <c r="AW9" s="73">
        <f>15+0+20</f>
        <v>35</v>
      </c>
      <c r="AX9" s="24">
        <f>W9+AJ9+AU9+AW9</f>
        <v>114.27450980392157</v>
      </c>
      <c r="AY9" s="2">
        <f>IF(AX9&gt;=BA9*0.85,5,IF(AX9&gt;=BA9*0.65,4,IF(AX9&gt;=BA9*0.4,3,2)))</f>
        <v>3</v>
      </c>
      <c r="AZ9" s="68"/>
      <c r="BA9" s="69">
        <f>$Z$1</f>
        <v>200</v>
      </c>
      <c r="BB9" s="70"/>
      <c r="BC9" s="70">
        <v>126</v>
      </c>
      <c r="BD9" s="71">
        <f>BC9-AX9</f>
        <v>11.725490196078425</v>
      </c>
      <c r="BE9" s="72">
        <v>2</v>
      </c>
      <c r="BF9" s="72">
        <v>2</v>
      </c>
      <c r="BG9" s="72">
        <v>2</v>
      </c>
      <c r="BH9" s="72">
        <v>2</v>
      </c>
      <c r="BI9" s="72">
        <v>2</v>
      </c>
      <c r="BJ9" s="72">
        <v>2</v>
      </c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96">
        <v>68</v>
      </c>
      <c r="DC9" s="97">
        <f t="shared" si="0"/>
        <v>-46.274509803921575</v>
      </c>
      <c r="DD9" s="49">
        <v>4.17</v>
      </c>
    </row>
    <row r="10" spans="1:108" ht="12.75" customHeight="1">
      <c r="A10" s="82">
        <f>A9+1</f>
        <v>6</v>
      </c>
      <c r="B10" s="86" t="s">
        <v>52</v>
      </c>
      <c r="C10" s="83">
        <f>IF(AK10&gt;0,3,0)</f>
        <v>0</v>
      </c>
      <c r="D10" s="78">
        <v>0</v>
      </c>
      <c r="E10" s="47">
        <v>1</v>
      </c>
      <c r="F10" s="47">
        <v>1</v>
      </c>
      <c r="G10" s="47">
        <v>0</v>
      </c>
      <c r="H10" s="47">
        <v>0.7</v>
      </c>
      <c r="I10" s="47">
        <v>1</v>
      </c>
      <c r="J10" s="47">
        <v>1.5</v>
      </c>
      <c r="K10" s="47">
        <v>3</v>
      </c>
      <c r="L10" s="47">
        <v>1</v>
      </c>
      <c r="M10" s="47">
        <v>0</v>
      </c>
      <c r="N10" s="47">
        <v>0</v>
      </c>
      <c r="O10" s="47">
        <v>1</v>
      </c>
      <c r="P10" s="47">
        <v>1</v>
      </c>
      <c r="Q10" s="47"/>
      <c r="R10" s="47">
        <v>3</v>
      </c>
      <c r="S10" s="47">
        <v>1</v>
      </c>
      <c r="T10" s="91">
        <f>IF(AF10&gt;0,1,0)</f>
        <v>1</v>
      </c>
      <c r="U10" s="58">
        <f>SUM(C10:T10)</f>
        <v>16.2</v>
      </c>
      <c r="V10" s="30">
        <f>2+2+2</f>
        <v>6</v>
      </c>
      <c r="W10" s="60">
        <f>((U10)*50/51)+V10</f>
        <v>21.88235294117647</v>
      </c>
      <c r="X10" s="87" t="s">
        <v>83</v>
      </c>
      <c r="Y10" s="88" t="s">
        <v>111</v>
      </c>
      <c r="Z10" s="88" t="s">
        <v>112</v>
      </c>
      <c r="AA10" s="54">
        <v>10</v>
      </c>
      <c r="AB10" s="54">
        <v>10</v>
      </c>
      <c r="AC10" s="54">
        <v>10</v>
      </c>
      <c r="AD10" s="58">
        <f>SUM(AA10:AC10)</f>
        <v>30</v>
      </c>
      <c r="AE10" s="54">
        <v>8</v>
      </c>
      <c r="AF10" s="54">
        <v>12</v>
      </c>
      <c r="AG10" s="53">
        <f>$BC$4</f>
        <v>12</v>
      </c>
      <c r="AH10" s="5"/>
      <c r="AI10" s="5">
        <f>SUM(AE10:AG10)</f>
        <v>32</v>
      </c>
      <c r="AJ10" s="58">
        <f>(AD10+AI10)*50/50</f>
        <v>62</v>
      </c>
      <c r="AK10" s="47"/>
      <c r="AL10" s="47">
        <v>3</v>
      </c>
      <c r="AM10" s="47"/>
      <c r="AN10" s="47"/>
      <c r="AO10" s="47">
        <v>3</v>
      </c>
      <c r="AP10" s="47">
        <v>3</v>
      </c>
      <c r="AQ10" s="47">
        <v>3</v>
      </c>
      <c r="AR10" s="47">
        <v>3</v>
      </c>
      <c r="AS10" s="47">
        <v>3</v>
      </c>
      <c r="AT10" s="47"/>
      <c r="AU10" s="58">
        <f>SUM(AK10:AT10)</f>
        <v>18</v>
      </c>
      <c r="AV10" s="5"/>
      <c r="AW10" s="67">
        <f>15+18+20</f>
        <v>53</v>
      </c>
      <c r="AX10" s="28">
        <f>W10+AJ10+AU10+AW10</f>
        <v>154.88235294117646</v>
      </c>
      <c r="AY10" s="5">
        <f>IF(AX10&gt;=BA10*0.85,5,IF(AX10&gt;=BA10*0.65,4,IF(AX10&gt;=BA10*0.4,3,2)))</f>
        <v>4</v>
      </c>
      <c r="AZ10" s="68"/>
      <c r="BA10" s="69">
        <f>$Z$1</f>
        <v>200</v>
      </c>
      <c r="BB10" s="70"/>
      <c r="BC10" s="70">
        <v>99</v>
      </c>
      <c r="BD10" s="71">
        <f>BC10-AX10</f>
        <v>-55.882352941176464</v>
      </c>
      <c r="BE10" s="72">
        <v>2</v>
      </c>
      <c r="BF10" s="72">
        <v>2</v>
      </c>
      <c r="BG10" s="72">
        <v>2</v>
      </c>
      <c r="BH10" s="72">
        <v>2</v>
      </c>
      <c r="BI10" s="72">
        <v>2</v>
      </c>
      <c r="BJ10" s="72">
        <v>2</v>
      </c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96">
        <v>92</v>
      </c>
      <c r="DC10" s="97">
        <f t="shared" si="0"/>
        <v>-62.882352941176464</v>
      </c>
      <c r="DD10" s="30">
        <v>7.91</v>
      </c>
    </row>
    <row r="11" spans="1:108" ht="12.75" customHeight="1">
      <c r="A11" s="80">
        <f>A10+1</f>
        <v>7</v>
      </c>
      <c r="B11" s="85" t="s">
        <v>53</v>
      </c>
      <c r="C11" s="81">
        <f>IF(AK11&gt;0,3,0)</f>
        <v>3</v>
      </c>
      <c r="D11" s="77">
        <v>3</v>
      </c>
      <c r="E11" s="46">
        <v>3</v>
      </c>
      <c r="F11" s="46">
        <v>1</v>
      </c>
      <c r="G11" s="46">
        <v>1.5</v>
      </c>
      <c r="H11" s="46">
        <v>2.5</v>
      </c>
      <c r="I11" s="46">
        <v>1</v>
      </c>
      <c r="J11" s="46">
        <v>3</v>
      </c>
      <c r="K11" s="46">
        <v>3</v>
      </c>
      <c r="L11" s="46">
        <v>0</v>
      </c>
      <c r="M11" s="46">
        <v>1</v>
      </c>
      <c r="N11" s="46">
        <v>1</v>
      </c>
      <c r="O11" s="46">
        <v>2</v>
      </c>
      <c r="P11" s="46">
        <v>3</v>
      </c>
      <c r="Q11" s="46"/>
      <c r="R11" s="46">
        <v>3</v>
      </c>
      <c r="S11" s="46">
        <v>1</v>
      </c>
      <c r="T11" s="46">
        <f>IF(AF11&gt;0,1,0)</f>
        <v>1</v>
      </c>
      <c r="U11" s="20">
        <f>SUM(C11:T11)</f>
        <v>33</v>
      </c>
      <c r="V11" s="49">
        <f>2+2+2</f>
        <v>6</v>
      </c>
      <c r="W11" s="59">
        <f>((U11)*50/51)+V11</f>
        <v>38.35294117647059</v>
      </c>
      <c r="X11" s="87" t="s">
        <v>69</v>
      </c>
      <c r="Y11" s="87" t="s">
        <v>79</v>
      </c>
      <c r="Z11" s="88" t="s">
        <v>87</v>
      </c>
      <c r="AA11" s="53">
        <v>10</v>
      </c>
      <c r="AB11" s="53">
        <v>10</v>
      </c>
      <c r="AC11" s="53">
        <v>10</v>
      </c>
      <c r="AD11" s="20">
        <f>SUM(AA11:AC11)</f>
        <v>30</v>
      </c>
      <c r="AE11" s="53">
        <v>8.5</v>
      </c>
      <c r="AF11" s="53">
        <v>16</v>
      </c>
      <c r="AG11" s="53">
        <f>$BC$4</f>
        <v>12</v>
      </c>
      <c r="AH11" s="23"/>
      <c r="AI11" s="2">
        <f>SUM(AE11:AH11)</f>
        <v>36.5</v>
      </c>
      <c r="AJ11" s="20">
        <f>(AD11+AI11)*50/50</f>
        <v>66.5</v>
      </c>
      <c r="AK11" s="46">
        <v>3</v>
      </c>
      <c r="AL11" s="46">
        <v>3</v>
      </c>
      <c r="AM11" s="46">
        <v>3</v>
      </c>
      <c r="AN11" s="46">
        <v>2</v>
      </c>
      <c r="AO11" s="46">
        <v>3</v>
      </c>
      <c r="AP11" s="46">
        <v>3</v>
      </c>
      <c r="AQ11" s="46">
        <v>3</v>
      </c>
      <c r="AR11" s="46">
        <v>2.5</v>
      </c>
      <c r="AS11" s="46"/>
      <c r="AT11" s="46">
        <v>3</v>
      </c>
      <c r="AU11" s="20">
        <f>SUM(AK11:AT11)</f>
        <v>25.5</v>
      </c>
      <c r="AV11" s="2"/>
      <c r="AW11" s="7">
        <f>15+10+15</f>
        <v>40</v>
      </c>
      <c r="AX11" s="24">
        <f>W11+AJ11+AU11+AW11</f>
        <v>170.35294117647058</v>
      </c>
      <c r="AY11" s="2">
        <f>IF(AX11&gt;=BA11*0.85,5,IF(AX11&gt;=BA11*0.65,4,IF(AX11&gt;=BA11*0.4,3,2)))</f>
        <v>5</v>
      </c>
      <c r="AZ11" s="8"/>
      <c r="BA11" s="9">
        <f>$Z$1</f>
        <v>200</v>
      </c>
      <c r="BB11" s="10"/>
      <c r="BC11" s="10">
        <v>115</v>
      </c>
      <c r="BD11" s="61">
        <f>BC11-AX11</f>
        <v>-55.35294117647058</v>
      </c>
      <c r="BE11" s="65"/>
      <c r="BF11" s="65"/>
      <c r="BG11" s="65"/>
      <c r="BH11" s="65">
        <v>2</v>
      </c>
      <c r="BI11" s="65">
        <v>2</v>
      </c>
      <c r="BJ11" s="65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DB11" s="96">
        <v>117</v>
      </c>
      <c r="DC11" s="97">
        <f t="shared" si="0"/>
        <v>-53.35294117647058</v>
      </c>
      <c r="DD11" s="49">
        <v>-1.95</v>
      </c>
    </row>
    <row r="12" spans="1:108" ht="12.75" customHeight="1">
      <c r="A12" s="82">
        <f>A11+1</f>
        <v>8</v>
      </c>
      <c r="B12" s="86" t="s">
        <v>54</v>
      </c>
      <c r="C12" s="83">
        <f>IF(AK12&gt;0,3,0)</f>
        <v>3</v>
      </c>
      <c r="D12" s="78">
        <v>3</v>
      </c>
      <c r="E12" s="47">
        <v>3</v>
      </c>
      <c r="F12" s="47">
        <v>1</v>
      </c>
      <c r="G12" s="47">
        <v>2</v>
      </c>
      <c r="H12" s="47">
        <v>0</v>
      </c>
      <c r="I12" s="47">
        <v>0</v>
      </c>
      <c r="J12" s="47">
        <v>2</v>
      </c>
      <c r="K12" s="47"/>
      <c r="L12" s="47">
        <v>1</v>
      </c>
      <c r="M12" s="47">
        <v>1</v>
      </c>
      <c r="N12" s="47">
        <v>3</v>
      </c>
      <c r="O12" s="47">
        <v>1</v>
      </c>
      <c r="P12" s="47">
        <v>0</v>
      </c>
      <c r="Q12" s="47"/>
      <c r="R12" s="47">
        <v>0</v>
      </c>
      <c r="S12" s="47">
        <v>3</v>
      </c>
      <c r="T12" s="91">
        <f>IF(AF12&gt;0,1,0)</f>
        <v>1</v>
      </c>
      <c r="U12" s="58">
        <f>SUM(C12:T12)</f>
        <v>24</v>
      </c>
      <c r="V12" s="30">
        <f>2</f>
        <v>2</v>
      </c>
      <c r="W12" s="60">
        <f>((U12)*50/51)+V12</f>
        <v>25.529411764705884</v>
      </c>
      <c r="X12" s="87" t="s">
        <v>70</v>
      </c>
      <c r="Y12" s="26" t="s">
        <v>120</v>
      </c>
      <c r="Z12" s="26" t="s">
        <v>124</v>
      </c>
      <c r="AA12" s="54">
        <v>10</v>
      </c>
      <c r="AB12" s="54">
        <v>10</v>
      </c>
      <c r="AC12" s="54">
        <v>10</v>
      </c>
      <c r="AD12" s="58">
        <f>SUM(AA12:AC12)</f>
        <v>30</v>
      </c>
      <c r="AE12" s="54">
        <v>8.5</v>
      </c>
      <c r="AF12" s="54">
        <v>16</v>
      </c>
      <c r="AG12" s="53">
        <f>$BC$4</f>
        <v>12</v>
      </c>
      <c r="AH12" s="5"/>
      <c r="AI12" s="5">
        <f>SUM(AE12:AG12)</f>
        <v>36.5</v>
      </c>
      <c r="AJ12" s="58">
        <f>(AD12+AI12)*50/50</f>
        <v>66.5</v>
      </c>
      <c r="AK12" s="47">
        <v>3</v>
      </c>
      <c r="AL12" s="47">
        <v>3</v>
      </c>
      <c r="AM12" s="47">
        <v>2</v>
      </c>
      <c r="AN12" s="47">
        <v>3</v>
      </c>
      <c r="AO12" s="47">
        <v>3</v>
      </c>
      <c r="AP12" s="47">
        <v>3</v>
      </c>
      <c r="AQ12" s="47">
        <v>3</v>
      </c>
      <c r="AR12" s="47">
        <v>3</v>
      </c>
      <c r="AS12" s="47">
        <v>3</v>
      </c>
      <c r="AT12" s="47">
        <v>3</v>
      </c>
      <c r="AU12" s="58">
        <f>SUM(AK12:AT12)</f>
        <v>29</v>
      </c>
      <c r="AV12" s="5"/>
      <c r="AW12" s="67">
        <f>10+12+12</f>
        <v>34</v>
      </c>
      <c r="AX12" s="28">
        <f>W12+AJ12+AU12+AW12</f>
        <v>155.02941176470588</v>
      </c>
      <c r="AY12" s="5">
        <f>IF(AX12&gt;=BA12*0.85,5,IF(AX12&gt;=BA12*0.65,4,IF(AX12&gt;=BA12*0.4,3,2)))</f>
        <v>4</v>
      </c>
      <c r="AZ12" s="68"/>
      <c r="BA12" s="69">
        <f>$Z$1</f>
        <v>200</v>
      </c>
      <c r="BB12" s="70"/>
      <c r="BC12" s="70">
        <v>95</v>
      </c>
      <c r="BD12" s="71">
        <f>BC12-AX12</f>
        <v>-60.029411764705884</v>
      </c>
      <c r="BE12" s="72">
        <v>2</v>
      </c>
      <c r="BF12" s="72">
        <v>2</v>
      </c>
      <c r="BG12" s="72">
        <v>2</v>
      </c>
      <c r="BH12" s="72">
        <v>2</v>
      </c>
      <c r="BI12" s="72">
        <v>2</v>
      </c>
      <c r="BJ12" s="72">
        <v>2</v>
      </c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96">
        <v>112</v>
      </c>
      <c r="DC12" s="97">
        <f t="shared" si="0"/>
        <v>-43.029411764705884</v>
      </c>
      <c r="DD12" s="30">
        <v>5.9</v>
      </c>
    </row>
    <row r="13" spans="1:108" ht="12.75" customHeight="1">
      <c r="A13" s="80">
        <f>A12+1</f>
        <v>9</v>
      </c>
      <c r="B13" s="85" t="s">
        <v>55</v>
      </c>
      <c r="C13" s="81">
        <f>IF(AK13&gt;0,3,0)</f>
        <v>3</v>
      </c>
      <c r="D13" s="77">
        <v>3</v>
      </c>
      <c r="E13" s="46">
        <v>1</v>
      </c>
      <c r="F13" s="46">
        <v>3</v>
      </c>
      <c r="G13" s="46">
        <v>3</v>
      </c>
      <c r="H13" s="46">
        <v>3</v>
      </c>
      <c r="I13" s="46">
        <v>3</v>
      </c>
      <c r="J13" s="46">
        <v>3</v>
      </c>
      <c r="K13" s="46">
        <v>3</v>
      </c>
      <c r="L13" s="46">
        <v>1</v>
      </c>
      <c r="M13" s="46">
        <v>3</v>
      </c>
      <c r="N13" s="46">
        <v>1</v>
      </c>
      <c r="O13" s="46">
        <v>1</v>
      </c>
      <c r="P13" s="46">
        <v>1</v>
      </c>
      <c r="Q13" s="46"/>
      <c r="R13" s="46">
        <v>0</v>
      </c>
      <c r="S13" s="46">
        <v>3</v>
      </c>
      <c r="T13" s="46">
        <f>IF(AF13&gt;0,1,0)</f>
        <v>1</v>
      </c>
      <c r="U13" s="20">
        <f>SUM(C13:T13)</f>
        <v>36</v>
      </c>
      <c r="V13" s="49">
        <f>2+2+3</f>
        <v>7</v>
      </c>
      <c r="W13" s="59">
        <f>((U13)*50/51)+V13</f>
        <v>42.294117647058826</v>
      </c>
      <c r="X13" s="87" t="s">
        <v>80</v>
      </c>
      <c r="Y13" s="87" t="s">
        <v>81</v>
      </c>
      <c r="Z13" s="88" t="s">
        <v>88</v>
      </c>
      <c r="AA13" s="53">
        <v>10</v>
      </c>
      <c r="AB13" s="53">
        <v>10</v>
      </c>
      <c r="AC13" s="53">
        <v>10</v>
      </c>
      <c r="AD13" s="20">
        <f>SUM(AA13:AC13)</f>
        <v>30</v>
      </c>
      <c r="AE13" s="53">
        <v>9.5</v>
      </c>
      <c r="AF13" s="53">
        <v>17</v>
      </c>
      <c r="AG13" s="53">
        <f>$BC$4</f>
        <v>12</v>
      </c>
      <c r="AH13" s="23"/>
      <c r="AI13" s="2">
        <f>SUM(AE13:AH13)</f>
        <v>38.5</v>
      </c>
      <c r="AJ13" s="20">
        <f>(AD13+AI13)*50/50</f>
        <v>68.5</v>
      </c>
      <c r="AK13" s="46">
        <v>3</v>
      </c>
      <c r="AL13" s="46">
        <v>1</v>
      </c>
      <c r="AM13" s="46">
        <v>2</v>
      </c>
      <c r="AN13" s="46">
        <v>2</v>
      </c>
      <c r="AO13" s="46">
        <v>2.7</v>
      </c>
      <c r="AP13" s="46">
        <v>3</v>
      </c>
      <c r="AQ13" s="46">
        <v>3</v>
      </c>
      <c r="AR13" s="46">
        <v>3</v>
      </c>
      <c r="AS13" s="46">
        <v>3</v>
      </c>
      <c r="AT13" s="46"/>
      <c r="AU13" s="20">
        <f>SUM(AK13:AT13)</f>
        <v>22.7</v>
      </c>
      <c r="AV13" s="2"/>
      <c r="AW13" s="73">
        <f>20+20+18</f>
        <v>58</v>
      </c>
      <c r="AX13" s="24">
        <f>W13+AJ13+AU13+AW13</f>
        <v>191.49411764705883</v>
      </c>
      <c r="AY13" s="2">
        <f>IF(AX13&gt;=BA13*0.85,5,IF(AX13&gt;=BA13*0.65,4,IF(AX13&gt;=BA13*0.4,3,2)))</f>
        <v>5</v>
      </c>
      <c r="AZ13" s="8"/>
      <c r="BA13" s="9">
        <f>$Z$1</f>
        <v>200</v>
      </c>
      <c r="BB13" s="10"/>
      <c r="BC13" s="10">
        <v>74</v>
      </c>
      <c r="BD13" s="61">
        <f>BC13-AX13</f>
        <v>-117.49411764705883</v>
      </c>
      <c r="BE13" s="65">
        <v>2</v>
      </c>
      <c r="BF13" s="65">
        <v>2</v>
      </c>
      <c r="BG13" s="65"/>
      <c r="BH13" s="65">
        <v>2</v>
      </c>
      <c r="BI13" s="65">
        <v>2</v>
      </c>
      <c r="BJ13" s="65">
        <v>2</v>
      </c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DB13" s="96">
        <v>125</v>
      </c>
      <c r="DC13" s="97">
        <f t="shared" si="0"/>
        <v>-66.49411764705883</v>
      </c>
      <c r="DD13" s="49">
        <v>7.26</v>
      </c>
    </row>
    <row r="14" spans="1:108" ht="12.75" customHeight="1">
      <c r="A14" s="82">
        <f>A13+1</f>
        <v>10</v>
      </c>
      <c r="B14" s="86" t="s">
        <v>56</v>
      </c>
      <c r="C14" s="83">
        <f>IF(AK14&gt;0,3,0)</f>
        <v>3</v>
      </c>
      <c r="D14" s="78">
        <v>0</v>
      </c>
      <c r="E14" s="47" t="s">
        <v>72</v>
      </c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91">
        <f>IF(AF14&gt;0,1,0)</f>
        <v>1</v>
      </c>
      <c r="U14" s="58">
        <f>SUM(C14:T14)</f>
        <v>4</v>
      </c>
      <c r="V14" s="30">
        <f>2</f>
        <v>2</v>
      </c>
      <c r="W14" s="60">
        <f>((U14)*50/51)+V14</f>
        <v>5.921568627450981</v>
      </c>
      <c r="X14" s="90"/>
      <c r="Y14" s="90"/>
      <c r="Z14" s="90"/>
      <c r="AA14" s="54"/>
      <c r="AB14" s="54"/>
      <c r="AC14" s="54"/>
      <c r="AD14" s="58">
        <f>SUM(AA14:AC14)</f>
        <v>0</v>
      </c>
      <c r="AE14" s="54"/>
      <c r="AF14" s="54">
        <v>14</v>
      </c>
      <c r="AG14" s="53">
        <f>$BC$4</f>
        <v>12</v>
      </c>
      <c r="AH14" s="5"/>
      <c r="AI14" s="5">
        <f>SUM(AE14:AG14)</f>
        <v>26</v>
      </c>
      <c r="AJ14" s="58">
        <f>(AD14+AI14)*50/50</f>
        <v>26</v>
      </c>
      <c r="AK14" s="92">
        <v>2.5</v>
      </c>
      <c r="AL14" s="94">
        <v>3</v>
      </c>
      <c r="AM14" s="92">
        <v>2.5</v>
      </c>
      <c r="AN14" s="93">
        <v>2.5</v>
      </c>
      <c r="AO14" s="94">
        <v>3</v>
      </c>
      <c r="AP14" s="94">
        <v>3</v>
      </c>
      <c r="AQ14" s="94"/>
      <c r="AR14" s="94"/>
      <c r="AS14" s="94"/>
      <c r="AT14" s="94"/>
      <c r="AU14" s="58">
        <f>SUM(AK14:AT14)</f>
        <v>16.5</v>
      </c>
      <c r="AV14" s="5"/>
      <c r="AW14" s="67">
        <f>20+15+10</f>
        <v>45</v>
      </c>
      <c r="AX14" s="28">
        <f>W14+AJ14+AU14+AW14</f>
        <v>93.42156862745098</v>
      </c>
      <c r="AY14" s="5">
        <f>IF(AX14&gt;=BA14*0.85,5,IF(AX14&gt;=BA14*0.65,4,IF(AX14&gt;=BA14*0.4,3,2)))</f>
        <v>4</v>
      </c>
      <c r="AZ14" s="68"/>
      <c r="BA14" s="69">
        <f>59+60</f>
        <v>119</v>
      </c>
      <c r="BB14" s="70"/>
      <c r="BC14" s="70"/>
      <c r="BD14" s="71">
        <f>BC14-AX14</f>
        <v>-93.42156862745098</v>
      </c>
      <c r="BE14" s="72">
        <v>2</v>
      </c>
      <c r="BF14" s="72">
        <v>2</v>
      </c>
      <c r="BG14" s="72">
        <v>2</v>
      </c>
      <c r="BH14" s="72">
        <v>2</v>
      </c>
      <c r="BI14" s="72">
        <v>2</v>
      </c>
      <c r="BJ14" s="72">
        <v>2</v>
      </c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96">
        <v>34</v>
      </c>
      <c r="DC14" s="97">
        <f t="shared" si="0"/>
        <v>-59.42156862745098</v>
      </c>
      <c r="DD14" s="30">
        <v>3.82</v>
      </c>
    </row>
    <row r="15" spans="1:108" ht="12.75" customHeight="1">
      <c r="A15" s="80">
        <f>A14+1</f>
        <v>11</v>
      </c>
      <c r="B15" s="85" t="s">
        <v>57</v>
      </c>
      <c r="C15" s="81">
        <f>IF(AK15&gt;0,3,0)</f>
        <v>3</v>
      </c>
      <c r="D15" s="77">
        <v>0</v>
      </c>
      <c r="E15" s="46">
        <v>3</v>
      </c>
      <c r="F15" s="46">
        <v>1</v>
      </c>
      <c r="G15" s="46">
        <v>3</v>
      </c>
      <c r="H15" s="46">
        <v>2.7</v>
      </c>
      <c r="I15" s="46">
        <v>3</v>
      </c>
      <c r="J15" s="46">
        <v>3</v>
      </c>
      <c r="K15" s="46"/>
      <c r="L15" s="46">
        <v>1</v>
      </c>
      <c r="M15" s="46">
        <v>1</v>
      </c>
      <c r="N15" s="46">
        <v>2</v>
      </c>
      <c r="O15" s="46">
        <v>3</v>
      </c>
      <c r="P15" s="46">
        <v>3</v>
      </c>
      <c r="Q15" s="46"/>
      <c r="R15" s="46">
        <v>0</v>
      </c>
      <c r="S15" s="46">
        <v>3</v>
      </c>
      <c r="T15" s="46">
        <f>IF(AF15&gt;0,1,0)</f>
        <v>1</v>
      </c>
      <c r="U15" s="20">
        <f>SUM(C15:T15)</f>
        <v>32.7</v>
      </c>
      <c r="V15" s="49">
        <f>2+2+3+2+2</f>
        <v>11</v>
      </c>
      <c r="W15" s="59">
        <f>((U15)*50/51)+V15</f>
        <v>43.05882352941177</v>
      </c>
      <c r="X15" s="87" t="s">
        <v>91</v>
      </c>
      <c r="Y15" s="87" t="s">
        <v>92</v>
      </c>
      <c r="Z15" s="88" t="s">
        <v>90</v>
      </c>
      <c r="AA15" s="53">
        <v>10</v>
      </c>
      <c r="AB15" s="53">
        <v>10</v>
      </c>
      <c r="AC15" s="53">
        <v>10</v>
      </c>
      <c r="AD15" s="20">
        <f>SUM(AA15:AC15)</f>
        <v>30</v>
      </c>
      <c r="AE15" s="53">
        <v>9</v>
      </c>
      <c r="AF15" s="53">
        <v>16</v>
      </c>
      <c r="AG15" s="53">
        <f>$BC$4</f>
        <v>12</v>
      </c>
      <c r="AH15" s="23"/>
      <c r="AI15" s="2">
        <f>SUM(AE15:AH15)</f>
        <v>37</v>
      </c>
      <c r="AJ15" s="20">
        <f>(AD15+AI15)*50/50</f>
        <v>67</v>
      </c>
      <c r="AK15" s="46">
        <v>3</v>
      </c>
      <c r="AL15" s="46">
        <v>3</v>
      </c>
      <c r="AM15" s="46">
        <v>3</v>
      </c>
      <c r="AN15" s="46"/>
      <c r="AO15" s="46"/>
      <c r="AP15" s="46">
        <v>3</v>
      </c>
      <c r="AQ15" s="46"/>
      <c r="AR15" s="46">
        <v>3</v>
      </c>
      <c r="AS15" s="46"/>
      <c r="AT15" s="46"/>
      <c r="AU15" s="20">
        <f>SUM(AK15:AT15)</f>
        <v>15</v>
      </c>
      <c r="AV15" s="2"/>
      <c r="AW15" s="7">
        <f>20+15+20</f>
        <v>55</v>
      </c>
      <c r="AX15" s="24">
        <f>W15+AJ15+AU15+AW15</f>
        <v>180.05882352941177</v>
      </c>
      <c r="AY15" s="2">
        <f>IF(AX15&gt;=BA15*0.85,5,IF(AX15&gt;=BA15*0.65,4,IF(AX15&gt;=BA15*0.4,3,2)))</f>
        <v>5</v>
      </c>
      <c r="AZ15" s="68"/>
      <c r="BA15" s="69">
        <f>$Z$1</f>
        <v>200</v>
      </c>
      <c r="BB15" s="70"/>
      <c r="BC15" s="70">
        <v>95</v>
      </c>
      <c r="BD15" s="71">
        <f>BC15-AX15</f>
        <v>-85.05882352941177</v>
      </c>
      <c r="BE15" s="72">
        <v>2</v>
      </c>
      <c r="BF15" s="72">
        <v>2</v>
      </c>
      <c r="BG15" s="72">
        <v>2</v>
      </c>
      <c r="BH15" s="72">
        <v>2</v>
      </c>
      <c r="BI15" s="72"/>
      <c r="BJ15" s="72">
        <v>2</v>
      </c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96">
        <v>116</v>
      </c>
      <c r="DC15" s="97">
        <f t="shared" si="0"/>
        <v>-64.05882352941177</v>
      </c>
      <c r="DD15" s="49">
        <v>-1.3</v>
      </c>
    </row>
    <row r="16" spans="1:108" ht="12.75" customHeight="1">
      <c r="A16" s="82">
        <f>A15+1</f>
        <v>12</v>
      </c>
      <c r="B16" s="86" t="s">
        <v>58</v>
      </c>
      <c r="C16" s="83">
        <f>IF(AK16&gt;0,3,0)</f>
        <v>3</v>
      </c>
      <c r="D16" s="78">
        <v>1</v>
      </c>
      <c r="E16" s="47">
        <v>1</v>
      </c>
      <c r="F16" s="47">
        <v>3</v>
      </c>
      <c r="G16" s="47">
        <v>1.5</v>
      </c>
      <c r="H16" s="47">
        <v>0</v>
      </c>
      <c r="I16" s="47">
        <v>1</v>
      </c>
      <c r="J16" s="47">
        <v>0</v>
      </c>
      <c r="K16" s="47">
        <v>3</v>
      </c>
      <c r="L16" s="47">
        <v>1</v>
      </c>
      <c r="M16" s="47">
        <v>3</v>
      </c>
      <c r="N16" s="47">
        <v>0</v>
      </c>
      <c r="O16" s="47">
        <v>2</v>
      </c>
      <c r="P16" s="47">
        <v>3</v>
      </c>
      <c r="Q16" s="47"/>
      <c r="R16" s="47">
        <v>0</v>
      </c>
      <c r="S16" s="47">
        <v>2</v>
      </c>
      <c r="T16" s="91">
        <f>IF(AF16&gt;0,1,0)</f>
        <v>1</v>
      </c>
      <c r="U16" s="58">
        <f>SUM(C16:T16)</f>
        <v>25.5</v>
      </c>
      <c r="V16" s="30">
        <f>2</f>
        <v>2</v>
      </c>
      <c r="W16" s="60">
        <f>((U16)*50/51)+V16</f>
        <v>27</v>
      </c>
      <c r="X16" s="87" t="s">
        <v>73</v>
      </c>
      <c r="Y16" s="87" t="s">
        <v>113</v>
      </c>
      <c r="Z16" s="26" t="s">
        <v>121</v>
      </c>
      <c r="AA16" s="54">
        <v>10</v>
      </c>
      <c r="AB16" s="54">
        <v>10</v>
      </c>
      <c r="AC16" s="54">
        <v>10</v>
      </c>
      <c r="AD16" s="58">
        <f>SUM(AA16:AC16)</f>
        <v>30</v>
      </c>
      <c r="AE16" s="54">
        <v>8</v>
      </c>
      <c r="AF16" s="54">
        <v>14</v>
      </c>
      <c r="AG16" s="53">
        <f>$BC$4</f>
        <v>12</v>
      </c>
      <c r="AH16" s="5"/>
      <c r="AI16" s="5">
        <f>SUM(AE16:AG16)</f>
        <v>34</v>
      </c>
      <c r="AJ16" s="58">
        <f>(AD16+AI16)*50/50</f>
        <v>64</v>
      </c>
      <c r="AK16" s="47">
        <v>3</v>
      </c>
      <c r="AL16" s="47">
        <v>3</v>
      </c>
      <c r="AM16" s="47">
        <v>2</v>
      </c>
      <c r="AN16" s="47">
        <v>3</v>
      </c>
      <c r="AO16" s="47">
        <v>2.7</v>
      </c>
      <c r="AP16" s="47">
        <v>2.5</v>
      </c>
      <c r="AQ16" s="47">
        <v>2.5</v>
      </c>
      <c r="AR16" s="47">
        <v>2.5</v>
      </c>
      <c r="AS16" s="47">
        <v>2.5</v>
      </c>
      <c r="AT16" s="47">
        <v>2.5</v>
      </c>
      <c r="AU16" s="58">
        <f>SUM(AK16:AT16)</f>
        <v>26.2</v>
      </c>
      <c r="AV16" s="5"/>
      <c r="AW16" s="67">
        <f>20+18+20</f>
        <v>58</v>
      </c>
      <c r="AX16" s="28">
        <f>W16+AJ16+AU16+AW16</f>
        <v>175.2</v>
      </c>
      <c r="AY16" s="5">
        <f>IF(AX16&gt;=BA16*0.85,5,IF(AX16&gt;=BA16*0.65,4,IF(AX16&gt;=BA16*0.4,3,2)))</f>
        <v>5</v>
      </c>
      <c r="AZ16" s="68"/>
      <c r="BA16" s="69">
        <f>$Z$1</f>
        <v>200</v>
      </c>
      <c r="BB16" s="70"/>
      <c r="BC16" s="70">
        <v>75</v>
      </c>
      <c r="BD16" s="71">
        <f>BC16-AX16</f>
        <v>-100.19999999999999</v>
      </c>
      <c r="BE16" s="72">
        <v>2</v>
      </c>
      <c r="BF16" s="72">
        <v>2</v>
      </c>
      <c r="BG16" s="72"/>
      <c r="BH16" s="72">
        <v>2</v>
      </c>
      <c r="BI16" s="72">
        <v>2</v>
      </c>
      <c r="BJ16" s="72">
        <v>2</v>
      </c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96">
        <v>106</v>
      </c>
      <c r="DC16" s="97">
        <f t="shared" si="0"/>
        <v>-69.19999999999999</v>
      </c>
      <c r="DD16" s="30">
        <v>5.54</v>
      </c>
    </row>
    <row r="17" spans="1:108" ht="12.75" customHeight="1">
      <c r="A17" s="80">
        <f>A16+1</f>
        <v>13</v>
      </c>
      <c r="B17" s="85" t="s">
        <v>59</v>
      </c>
      <c r="C17" s="81">
        <f>IF(AK17&gt;0,3,0)</f>
        <v>3</v>
      </c>
      <c r="D17" s="77">
        <v>3</v>
      </c>
      <c r="E17" s="46">
        <v>1</v>
      </c>
      <c r="F17" s="46">
        <v>3</v>
      </c>
      <c r="G17" s="46">
        <v>3</v>
      </c>
      <c r="H17" s="46">
        <v>2.2</v>
      </c>
      <c r="I17" s="46">
        <v>2.5</v>
      </c>
      <c r="J17" s="46">
        <v>2.5</v>
      </c>
      <c r="K17" s="46"/>
      <c r="L17" s="46">
        <v>1</v>
      </c>
      <c r="M17" s="46">
        <v>3</v>
      </c>
      <c r="N17" s="46">
        <v>2</v>
      </c>
      <c r="O17" s="46">
        <v>3</v>
      </c>
      <c r="P17" s="46">
        <v>3</v>
      </c>
      <c r="Q17" s="46"/>
      <c r="R17" s="46">
        <v>3</v>
      </c>
      <c r="S17" s="46">
        <v>2</v>
      </c>
      <c r="T17" s="46">
        <f>IF(AF17&gt;0,1,0)</f>
        <v>1</v>
      </c>
      <c r="U17" s="20">
        <f>SUM(C17:T17)</f>
        <v>38.2</v>
      </c>
      <c r="V17" s="49">
        <f>2+2+3+2</f>
        <v>9</v>
      </c>
      <c r="W17" s="59">
        <f>((U17)*50/51)+V17</f>
        <v>46.450980392156865</v>
      </c>
      <c r="X17" s="87" t="s">
        <v>74</v>
      </c>
      <c r="Y17" s="87" t="s">
        <v>89</v>
      </c>
      <c r="Z17" s="87" t="s">
        <v>82</v>
      </c>
      <c r="AA17" s="53">
        <v>10</v>
      </c>
      <c r="AB17" s="53">
        <v>10</v>
      </c>
      <c r="AC17" s="53">
        <v>10</v>
      </c>
      <c r="AD17" s="20">
        <f>SUM(AA17:AC17)</f>
        <v>30</v>
      </c>
      <c r="AE17" s="53">
        <v>8.5</v>
      </c>
      <c r="AF17" s="53">
        <v>12</v>
      </c>
      <c r="AG17" s="53">
        <f>$BC$4</f>
        <v>12</v>
      </c>
      <c r="AH17" s="23"/>
      <c r="AI17" s="2">
        <f>SUM(AE17:AH17)</f>
        <v>32.5</v>
      </c>
      <c r="AJ17" s="20">
        <f>(AD17+AI17)*50/50</f>
        <v>62.5</v>
      </c>
      <c r="AK17" s="46">
        <v>2.9</v>
      </c>
      <c r="AL17" s="46">
        <v>3</v>
      </c>
      <c r="AM17" s="46">
        <v>3</v>
      </c>
      <c r="AN17" s="46">
        <v>3</v>
      </c>
      <c r="AO17" s="46">
        <v>0</v>
      </c>
      <c r="AP17" s="46">
        <v>3</v>
      </c>
      <c r="AQ17" s="46">
        <v>3</v>
      </c>
      <c r="AR17" s="46">
        <v>3</v>
      </c>
      <c r="AS17" s="46">
        <v>3</v>
      </c>
      <c r="AT17" s="46">
        <v>3</v>
      </c>
      <c r="AU17" s="20">
        <f>SUM(AK17:AT17)</f>
        <v>26.9</v>
      </c>
      <c r="AV17" s="2"/>
      <c r="AW17" s="73">
        <f>18+0+12</f>
        <v>30</v>
      </c>
      <c r="AX17" s="24">
        <f>W17+AJ17+AU17+AW17</f>
        <v>165.85098039215686</v>
      </c>
      <c r="AY17" s="2">
        <f>IF(AX17&gt;=BA17*0.85,5,IF(AX17&gt;=BA17*0.65,4,IF(AX17&gt;=BA17*0.4,3,2)))</f>
        <v>4</v>
      </c>
      <c r="AZ17" s="8"/>
      <c r="BA17" s="9">
        <f>$Z$1</f>
        <v>200</v>
      </c>
      <c r="BB17" s="10"/>
      <c r="BC17" s="10">
        <v>1</v>
      </c>
      <c r="BD17" s="61">
        <f>BC17-AX17</f>
        <v>-164.85098039215686</v>
      </c>
      <c r="BE17" s="65">
        <v>2</v>
      </c>
      <c r="BF17" s="65">
        <v>2</v>
      </c>
      <c r="BG17" s="65">
        <v>2</v>
      </c>
      <c r="BH17" s="65">
        <v>2</v>
      </c>
      <c r="BI17" s="65">
        <v>2</v>
      </c>
      <c r="BJ17" s="65">
        <v>2</v>
      </c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DB17" s="96">
        <v>124</v>
      </c>
      <c r="DC17" s="97">
        <f t="shared" si="0"/>
        <v>-41.850980392156856</v>
      </c>
      <c r="DD17" s="49">
        <v>3.14</v>
      </c>
    </row>
    <row r="18" spans="1:108" ht="12.75" customHeight="1">
      <c r="A18" s="82">
        <f>A17+1</f>
        <v>14</v>
      </c>
      <c r="B18" s="86" t="s">
        <v>60</v>
      </c>
      <c r="C18" s="83">
        <f>IF(AK18&gt;0,3,0)</f>
        <v>3</v>
      </c>
      <c r="D18" s="78">
        <v>2</v>
      </c>
      <c r="E18" s="47">
        <v>1</v>
      </c>
      <c r="F18" s="47">
        <v>3</v>
      </c>
      <c r="G18" s="47">
        <v>2.5</v>
      </c>
      <c r="H18" s="47">
        <v>2.5</v>
      </c>
      <c r="I18" s="47">
        <v>3</v>
      </c>
      <c r="J18" s="47">
        <v>3</v>
      </c>
      <c r="K18" s="47">
        <v>3</v>
      </c>
      <c r="L18" s="47">
        <v>1</v>
      </c>
      <c r="M18" s="47"/>
      <c r="N18" s="47">
        <v>2</v>
      </c>
      <c r="O18" s="47">
        <v>1</v>
      </c>
      <c r="P18" s="47">
        <v>3</v>
      </c>
      <c r="Q18" s="47"/>
      <c r="R18" s="47">
        <v>0</v>
      </c>
      <c r="S18" s="47">
        <v>1</v>
      </c>
      <c r="T18" s="91">
        <v>3</v>
      </c>
      <c r="U18" s="58">
        <f>SUM(C18:T18)</f>
        <v>34</v>
      </c>
      <c r="V18" s="30">
        <f>2+2+2+2+2+2</f>
        <v>12</v>
      </c>
      <c r="W18" s="60">
        <f>((U18)*50/51)+V18</f>
        <v>45.333333333333336</v>
      </c>
      <c r="X18" s="87" t="s">
        <v>75</v>
      </c>
      <c r="Y18" s="88" t="s">
        <v>101</v>
      </c>
      <c r="Z18" s="88" t="s">
        <v>102</v>
      </c>
      <c r="AA18" s="54">
        <v>10</v>
      </c>
      <c r="AB18" s="54">
        <v>10</v>
      </c>
      <c r="AC18" s="54">
        <v>10</v>
      </c>
      <c r="AD18" s="58">
        <f>SUM(AA18:AC18)</f>
        <v>30</v>
      </c>
      <c r="AE18" s="54">
        <v>8.5</v>
      </c>
      <c r="AF18" s="54">
        <v>16</v>
      </c>
      <c r="AG18" s="53">
        <f>$BC$4</f>
        <v>12</v>
      </c>
      <c r="AH18" s="5"/>
      <c r="AI18" s="5">
        <f>SUM(AE18:AG18)</f>
        <v>36.5</v>
      </c>
      <c r="AJ18" s="58">
        <f>(AD18+AI18)*50/50</f>
        <v>66.5</v>
      </c>
      <c r="AK18" s="47">
        <v>2.8</v>
      </c>
      <c r="AL18" s="47">
        <v>3</v>
      </c>
      <c r="AM18" s="47">
        <v>3</v>
      </c>
      <c r="AN18" s="47">
        <v>3</v>
      </c>
      <c r="AO18" s="47">
        <v>3</v>
      </c>
      <c r="AP18" s="47">
        <v>3</v>
      </c>
      <c r="AQ18" s="47">
        <v>3</v>
      </c>
      <c r="AR18" s="47"/>
      <c r="AS18" s="47">
        <v>3</v>
      </c>
      <c r="AT18" s="47">
        <v>2</v>
      </c>
      <c r="AU18" s="58">
        <f>SUM(AK18:AT18)</f>
        <v>25.8</v>
      </c>
      <c r="AV18" s="5"/>
      <c r="AW18" s="67">
        <f>10+20+18</f>
        <v>48</v>
      </c>
      <c r="AX18" s="28">
        <v>181</v>
      </c>
      <c r="AY18" s="5">
        <f>IF(AX18&gt;=BA18*0.85,5,IF(AX18&gt;=BA18*0.65,4,IF(AX18&gt;=BA18*0.4,3,2)))</f>
        <v>5</v>
      </c>
      <c r="AZ18" s="8"/>
      <c r="BA18" s="9">
        <f>$Z$1</f>
        <v>200</v>
      </c>
      <c r="BB18" s="10"/>
      <c r="BC18" s="10">
        <v>119</v>
      </c>
      <c r="BD18" s="61">
        <f>BC18-AX18</f>
        <v>-62</v>
      </c>
      <c r="BE18" s="65"/>
      <c r="BF18" s="65"/>
      <c r="BG18" s="65"/>
      <c r="BH18" s="65"/>
      <c r="BI18" s="65"/>
      <c r="BJ18" s="65">
        <v>2</v>
      </c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96">
        <v>125</v>
      </c>
      <c r="DC18" s="97">
        <f t="shared" si="0"/>
        <v>-56</v>
      </c>
      <c r="DD18" s="30">
        <v>6.94</v>
      </c>
    </row>
    <row r="19" spans="1:108" ht="12.75" customHeight="1">
      <c r="A19" s="80">
        <f>A18+1</f>
        <v>15</v>
      </c>
      <c r="B19" s="85" t="s">
        <v>61</v>
      </c>
      <c r="C19" s="81">
        <f>IF(AK19&gt;0,3,0)</f>
        <v>3</v>
      </c>
      <c r="D19" s="77">
        <v>3</v>
      </c>
      <c r="E19" s="46">
        <v>1</v>
      </c>
      <c r="F19" s="46">
        <v>3</v>
      </c>
      <c r="G19" s="46">
        <v>2</v>
      </c>
      <c r="H19" s="46">
        <v>0.7</v>
      </c>
      <c r="I19" s="46">
        <v>0</v>
      </c>
      <c r="J19" s="46">
        <v>1.5</v>
      </c>
      <c r="K19" s="46">
        <v>1</v>
      </c>
      <c r="L19" s="46">
        <v>1</v>
      </c>
      <c r="M19" s="46">
        <v>1</v>
      </c>
      <c r="N19" s="46">
        <v>1</v>
      </c>
      <c r="O19" s="46">
        <v>3</v>
      </c>
      <c r="P19" s="46">
        <v>3</v>
      </c>
      <c r="Q19" s="46"/>
      <c r="R19" s="46">
        <v>0</v>
      </c>
      <c r="S19" s="46">
        <v>0</v>
      </c>
      <c r="T19" s="46">
        <f>IF(AF19&gt;0,1,0)</f>
        <v>1</v>
      </c>
      <c r="U19" s="20">
        <f>SUM(C19:T19)</f>
        <v>25.2</v>
      </c>
      <c r="V19" s="49">
        <f>2+2+2+3</f>
        <v>9</v>
      </c>
      <c r="W19" s="59">
        <f>((U19)*50/51)+V19</f>
        <v>33.705882352941174</v>
      </c>
      <c r="X19" s="87" t="s">
        <v>76</v>
      </c>
      <c r="Y19" s="89" t="s">
        <v>114</v>
      </c>
      <c r="Z19" s="88" t="s">
        <v>115</v>
      </c>
      <c r="AA19" s="53">
        <v>10</v>
      </c>
      <c r="AB19" s="53">
        <v>10</v>
      </c>
      <c r="AC19" s="53">
        <v>10</v>
      </c>
      <c r="AD19" s="20">
        <f>SUM(AA19:AC19)</f>
        <v>30</v>
      </c>
      <c r="AE19" s="53">
        <v>8.5</v>
      </c>
      <c r="AF19" s="53">
        <v>15</v>
      </c>
      <c r="AG19" s="53">
        <v>14</v>
      </c>
      <c r="AH19" s="23"/>
      <c r="AI19" s="2">
        <f>SUM(AE19:AH19)</f>
        <v>37.5</v>
      </c>
      <c r="AJ19" s="20">
        <f>(AD19+AI19)*50/50</f>
        <v>67.5</v>
      </c>
      <c r="AK19" s="46">
        <v>3</v>
      </c>
      <c r="AL19" s="46">
        <v>3</v>
      </c>
      <c r="AM19" s="46">
        <v>3</v>
      </c>
      <c r="AN19" s="46"/>
      <c r="AO19" s="46">
        <v>2.7</v>
      </c>
      <c r="AP19" s="46">
        <v>3</v>
      </c>
      <c r="AQ19" s="46">
        <v>2</v>
      </c>
      <c r="AR19" s="46">
        <v>3</v>
      </c>
      <c r="AS19" s="46">
        <v>3</v>
      </c>
      <c r="AT19" s="46">
        <v>3</v>
      </c>
      <c r="AU19" s="20">
        <f>SUM(AK19:AT19)</f>
        <v>25.7</v>
      </c>
      <c r="AV19" s="2"/>
      <c r="AW19" s="7">
        <f>12+20+12</f>
        <v>44</v>
      </c>
      <c r="AX19" s="24">
        <f>W19+AJ19+AU19+AW19</f>
        <v>170.90588235294118</v>
      </c>
      <c r="AY19" s="2">
        <f>IF(AX19&gt;=BA19*0.85,5,IF(AX19&gt;=BA19*0.65,4,IF(AX19&gt;=BA19*0.4,3,2)))</f>
        <v>5</v>
      </c>
      <c r="AZ19" s="68"/>
      <c r="BA19" s="69">
        <f>$Z$1</f>
        <v>200</v>
      </c>
      <c r="BB19" s="70"/>
      <c r="BC19" s="70">
        <v>85</v>
      </c>
      <c r="BD19" s="71">
        <f>BC19-AX19</f>
        <v>-85.90588235294118</v>
      </c>
      <c r="BE19" s="72">
        <v>2</v>
      </c>
      <c r="BF19" s="72">
        <v>2</v>
      </c>
      <c r="BG19" s="72">
        <v>2</v>
      </c>
      <c r="BH19" s="72">
        <v>2</v>
      </c>
      <c r="BI19" s="72">
        <v>2</v>
      </c>
      <c r="BJ19" s="72">
        <v>2</v>
      </c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96">
        <v>116</v>
      </c>
      <c r="DC19" s="97">
        <f t="shared" si="0"/>
        <v>-54.90588235294118</v>
      </c>
      <c r="DD19" s="49">
        <v>0.63</v>
      </c>
    </row>
    <row r="20" spans="1:108" ht="12.75" customHeight="1">
      <c r="A20" s="82">
        <f>A19+1</f>
        <v>16</v>
      </c>
      <c r="B20" s="86" t="s">
        <v>62</v>
      </c>
      <c r="C20" s="83">
        <f>IF(AK20&gt;0,3,0)</f>
        <v>3</v>
      </c>
      <c r="D20" s="78">
        <v>3</v>
      </c>
      <c r="E20" s="47">
        <v>0</v>
      </c>
      <c r="F20" s="47">
        <v>3</v>
      </c>
      <c r="G20" s="47">
        <v>3</v>
      </c>
      <c r="H20" s="47">
        <v>2</v>
      </c>
      <c r="I20" s="47">
        <v>1</v>
      </c>
      <c r="J20" s="47">
        <v>2</v>
      </c>
      <c r="K20" s="47">
        <v>3</v>
      </c>
      <c r="L20" s="47">
        <v>1</v>
      </c>
      <c r="M20" s="47">
        <v>0</v>
      </c>
      <c r="N20" s="47">
        <v>3</v>
      </c>
      <c r="O20" s="47">
        <v>1</v>
      </c>
      <c r="P20" s="47">
        <v>2</v>
      </c>
      <c r="Q20" s="47"/>
      <c r="R20" s="47">
        <v>0</v>
      </c>
      <c r="S20" s="47">
        <v>3</v>
      </c>
      <c r="T20" s="91">
        <f>IF(AF20&gt;0,1,0)</f>
        <v>1</v>
      </c>
      <c r="U20" s="58">
        <f>SUM(C20:T20)</f>
        <v>31</v>
      </c>
      <c r="V20" s="30">
        <f>2+2+2+2+1+2</f>
        <v>11</v>
      </c>
      <c r="W20" s="60">
        <f>((U20)*50/51)+V20</f>
        <v>41.3921568627451</v>
      </c>
      <c r="X20" s="87" t="s">
        <v>94</v>
      </c>
      <c r="Y20" s="87" t="s">
        <v>95</v>
      </c>
      <c r="Z20" s="89" t="s">
        <v>96</v>
      </c>
      <c r="AA20" s="54">
        <v>10</v>
      </c>
      <c r="AB20" s="54">
        <v>10</v>
      </c>
      <c r="AC20" s="54">
        <v>10</v>
      </c>
      <c r="AD20" s="58">
        <f>SUM(AA20:AC20)</f>
        <v>30</v>
      </c>
      <c r="AE20" s="54">
        <v>8.5</v>
      </c>
      <c r="AF20" s="54">
        <v>15</v>
      </c>
      <c r="AG20" s="53">
        <f>$BC$4</f>
        <v>12</v>
      </c>
      <c r="AH20" s="5"/>
      <c r="AI20" s="5">
        <f>SUM(AE20:AG20)</f>
        <v>35.5</v>
      </c>
      <c r="AJ20" s="58">
        <f>(AD20+AI20)*50/50</f>
        <v>65.5</v>
      </c>
      <c r="AK20" s="47">
        <v>3</v>
      </c>
      <c r="AL20" s="47">
        <v>3</v>
      </c>
      <c r="AM20" s="47">
        <v>3</v>
      </c>
      <c r="AN20" s="47">
        <v>3</v>
      </c>
      <c r="AO20" s="47">
        <v>3</v>
      </c>
      <c r="AP20" s="47">
        <v>3</v>
      </c>
      <c r="AQ20" s="47">
        <v>2.7</v>
      </c>
      <c r="AR20" s="47">
        <v>3</v>
      </c>
      <c r="AS20" s="47">
        <v>3</v>
      </c>
      <c r="AT20" s="47">
        <v>1</v>
      </c>
      <c r="AU20" s="58">
        <f>SUM(AK20:AT20)</f>
        <v>27.7</v>
      </c>
      <c r="AV20" s="5"/>
      <c r="AW20" s="67">
        <f>12+20+15</f>
        <v>47</v>
      </c>
      <c r="AX20" s="28">
        <f>W20+AJ20+AU20+AW20</f>
        <v>181.5921568627451</v>
      </c>
      <c r="AY20" s="5">
        <f>IF(AX20&gt;=BA20*0.85,5,IF(AX20&gt;=BA20*0.65,4,IF(AX20&gt;=BA20*0.4,3,2)))</f>
        <v>5</v>
      </c>
      <c r="AZ20" s="68"/>
      <c r="BA20" s="69">
        <f>$Z$1</f>
        <v>200</v>
      </c>
      <c r="BB20" s="70"/>
      <c r="BC20" s="70">
        <v>115</v>
      </c>
      <c r="BD20" s="71">
        <f>BC20-AX20</f>
        <v>-66.5921568627451</v>
      </c>
      <c r="BE20" s="72"/>
      <c r="BF20" s="72"/>
      <c r="BG20" s="72">
        <v>2</v>
      </c>
      <c r="BH20" s="72">
        <v>2</v>
      </c>
      <c r="BI20" s="72">
        <v>2</v>
      </c>
      <c r="BJ20" s="72">
        <v>2</v>
      </c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96">
        <v>125</v>
      </c>
      <c r="DC20" s="97">
        <f t="shared" si="0"/>
        <v>-56.5921568627451</v>
      </c>
      <c r="DD20" s="30">
        <v>6.48</v>
      </c>
    </row>
    <row r="21" spans="1:108" ht="12.75" customHeight="1">
      <c r="A21" s="80">
        <f>A20+1</f>
        <v>17</v>
      </c>
      <c r="B21" s="85" t="s">
        <v>63</v>
      </c>
      <c r="C21" s="81">
        <f>IF(AK21&gt;0,3,0)</f>
        <v>3</v>
      </c>
      <c r="D21" s="77">
        <v>0</v>
      </c>
      <c r="E21" s="46">
        <v>1</v>
      </c>
      <c r="F21" s="46">
        <v>3</v>
      </c>
      <c r="G21" s="46">
        <v>0</v>
      </c>
      <c r="H21" s="46">
        <v>3</v>
      </c>
      <c r="I21" s="46">
        <v>0.8</v>
      </c>
      <c r="J21" s="46">
        <v>3</v>
      </c>
      <c r="K21" s="46"/>
      <c r="L21" s="46">
        <v>1</v>
      </c>
      <c r="M21" s="46">
        <v>3</v>
      </c>
      <c r="N21" s="46">
        <v>0</v>
      </c>
      <c r="O21" s="46">
        <v>0.75</v>
      </c>
      <c r="P21" s="46">
        <v>0.5</v>
      </c>
      <c r="Q21" s="46"/>
      <c r="R21" s="46">
        <v>0</v>
      </c>
      <c r="S21" s="46">
        <v>0</v>
      </c>
      <c r="T21" s="46">
        <f>IF(AF21&gt;0,1,0)</f>
        <v>1</v>
      </c>
      <c r="U21" s="20">
        <f>SUM(C21:T21)</f>
        <v>20.05</v>
      </c>
      <c r="V21" s="49"/>
      <c r="W21" s="59">
        <f>((U21)*50/51)+V21</f>
        <v>19.65686274509804</v>
      </c>
      <c r="X21" s="87" t="s">
        <v>97</v>
      </c>
      <c r="Y21" s="87" t="s">
        <v>98</v>
      </c>
      <c r="Z21" s="88" t="s">
        <v>99</v>
      </c>
      <c r="AA21" s="53">
        <v>10</v>
      </c>
      <c r="AB21" s="53">
        <v>10</v>
      </c>
      <c r="AC21" s="53"/>
      <c r="AD21" s="20">
        <f>SUM(AA21:AC21)</f>
        <v>20</v>
      </c>
      <c r="AE21" s="53">
        <v>8</v>
      </c>
      <c r="AF21" s="53">
        <v>13</v>
      </c>
      <c r="AG21" s="53">
        <f>$BC$4</f>
        <v>12</v>
      </c>
      <c r="AH21" s="23"/>
      <c r="AI21" s="2">
        <f>SUM(AE21:AH21)</f>
        <v>33</v>
      </c>
      <c r="AJ21" s="20">
        <f>(AD21+AI21)*50/50</f>
        <v>53</v>
      </c>
      <c r="AK21" s="46">
        <v>3</v>
      </c>
      <c r="AL21" s="46">
        <v>3</v>
      </c>
      <c r="AM21" s="46"/>
      <c r="AN21" s="46">
        <v>1</v>
      </c>
      <c r="AO21" s="46"/>
      <c r="AP21" s="46">
        <v>2</v>
      </c>
      <c r="AQ21" s="46"/>
      <c r="AR21" s="46"/>
      <c r="AS21" s="46"/>
      <c r="AT21" s="46"/>
      <c r="AU21" s="20">
        <f>SUM(AK21:AT21)</f>
        <v>9</v>
      </c>
      <c r="AV21" s="2"/>
      <c r="AW21" s="7">
        <f>12+20+20</f>
        <v>52</v>
      </c>
      <c r="AX21" s="24">
        <f>W21+AJ21+AU21+AW21</f>
        <v>133.65686274509804</v>
      </c>
      <c r="AY21" s="2">
        <f>IF(AX21&gt;=BA21*0.85,5,IF(AX21&gt;=BA21*0.65,4,IF(AX21&gt;=BA21*0.4,3,2)))</f>
        <v>4</v>
      </c>
      <c r="AZ21" s="8"/>
      <c r="BA21" s="9">
        <f>$Z$1</f>
        <v>200</v>
      </c>
      <c r="BB21" s="10"/>
      <c r="BC21" s="10">
        <v>46</v>
      </c>
      <c r="BD21" s="61">
        <f>BC21-AX21</f>
        <v>-87.65686274509804</v>
      </c>
      <c r="BE21" s="65">
        <v>2</v>
      </c>
      <c r="BF21" s="65"/>
      <c r="BG21" s="65">
        <v>2</v>
      </c>
      <c r="BH21" s="65">
        <v>2</v>
      </c>
      <c r="BI21" s="65">
        <v>2</v>
      </c>
      <c r="BJ21" s="65">
        <v>2</v>
      </c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96">
        <v>70</v>
      </c>
      <c r="DC21" s="97">
        <f t="shared" si="0"/>
        <v>-63.65686274509804</v>
      </c>
      <c r="DD21" s="49">
        <v>-0.51</v>
      </c>
    </row>
    <row r="22" spans="1:108" ht="12.75" customHeight="1">
      <c r="A22" s="82">
        <f>A21+1</f>
        <v>18</v>
      </c>
      <c r="B22" s="86" t="s">
        <v>64</v>
      </c>
      <c r="C22" s="83">
        <f>IF(AK22&gt;0,3,0)</f>
        <v>0</v>
      </c>
      <c r="D22" s="78">
        <v>0</v>
      </c>
      <c r="E22" s="47">
        <v>0</v>
      </c>
      <c r="F22" s="47">
        <v>0</v>
      </c>
      <c r="G22" s="47">
        <v>0</v>
      </c>
      <c r="H22" s="47">
        <v>1.2</v>
      </c>
      <c r="I22" s="47">
        <v>1</v>
      </c>
      <c r="J22" s="47">
        <v>3</v>
      </c>
      <c r="K22" s="47">
        <v>1</v>
      </c>
      <c r="L22" s="47">
        <v>1</v>
      </c>
      <c r="M22" s="47">
        <v>0</v>
      </c>
      <c r="N22" s="47">
        <v>3</v>
      </c>
      <c r="O22" s="47">
        <v>0</v>
      </c>
      <c r="P22" s="47">
        <v>0</v>
      </c>
      <c r="Q22" s="47"/>
      <c r="R22" s="47">
        <v>0</v>
      </c>
      <c r="S22" s="47">
        <v>3</v>
      </c>
      <c r="T22" s="91">
        <f>IF(AF22&gt;0,1,0)</f>
        <v>1</v>
      </c>
      <c r="U22" s="58">
        <f>SUM(C22:T22)</f>
        <v>14.2</v>
      </c>
      <c r="V22" s="30"/>
      <c r="W22" s="60">
        <f>((U22)*50/51)+V22</f>
        <v>13.92156862745098</v>
      </c>
      <c r="X22" s="87" t="s">
        <v>105</v>
      </c>
      <c r="Y22" s="89" t="s">
        <v>116</v>
      </c>
      <c r="Z22" s="88"/>
      <c r="AA22" s="54">
        <v>10</v>
      </c>
      <c r="AB22" s="54">
        <v>10</v>
      </c>
      <c r="AC22" s="54"/>
      <c r="AD22" s="58">
        <f>SUM(AA22:AC22)</f>
        <v>20</v>
      </c>
      <c r="AE22" s="54">
        <v>8.5</v>
      </c>
      <c r="AF22" s="54">
        <v>13</v>
      </c>
      <c r="AG22" s="53">
        <f>$BC$4</f>
        <v>12</v>
      </c>
      <c r="AH22" s="5"/>
      <c r="AI22" s="5">
        <f>SUM(AE22:AG22)</f>
        <v>33.5</v>
      </c>
      <c r="AJ22" s="58">
        <f>(AD22+AI22)*50/50</f>
        <v>53.5</v>
      </c>
      <c r="AK22" s="47"/>
      <c r="AL22" s="47"/>
      <c r="AM22" s="47"/>
      <c r="AN22" s="47"/>
      <c r="AO22" s="47"/>
      <c r="AP22" s="47">
        <v>3</v>
      </c>
      <c r="AQ22" s="47"/>
      <c r="AR22" s="47"/>
      <c r="AS22" s="47"/>
      <c r="AT22" s="47"/>
      <c r="AU22" s="58">
        <f>SUM(AK22:AT22)</f>
        <v>3</v>
      </c>
      <c r="AV22" s="5"/>
      <c r="AW22" s="67">
        <f>5+8+5</f>
        <v>18</v>
      </c>
      <c r="AX22" s="28">
        <f>W22+AJ22+AU22+AW22</f>
        <v>88.42156862745098</v>
      </c>
      <c r="AY22" s="5">
        <v>2</v>
      </c>
      <c r="AZ22" s="68"/>
      <c r="BA22" s="69">
        <f>$Z$1</f>
        <v>200</v>
      </c>
      <c r="BB22" s="70"/>
      <c r="BC22" s="70">
        <v>94</v>
      </c>
      <c r="BD22" s="71">
        <f>BC22-AX22</f>
        <v>5.578431372549019</v>
      </c>
      <c r="BE22" s="72">
        <v>2</v>
      </c>
      <c r="BF22" s="72"/>
      <c r="BG22" s="72">
        <v>2</v>
      </c>
      <c r="BH22" s="72">
        <v>2</v>
      </c>
      <c r="BI22" s="72">
        <v>2</v>
      </c>
      <c r="BJ22" s="72">
        <v>2</v>
      </c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96">
        <v>59</v>
      </c>
      <c r="DC22" s="97">
        <f t="shared" si="0"/>
        <v>-29.42156862745098</v>
      </c>
      <c r="DD22" s="30">
        <v>5.88</v>
      </c>
    </row>
    <row r="23" spans="1:108" ht="12.75" customHeight="1">
      <c r="A23" s="80">
        <f>A22+1</f>
        <v>19</v>
      </c>
      <c r="B23" s="85" t="s">
        <v>65</v>
      </c>
      <c r="C23" s="81">
        <f>IF(AK23&gt;0,3,0)</f>
        <v>3</v>
      </c>
      <c r="D23" s="77">
        <v>1</v>
      </c>
      <c r="E23" s="46">
        <v>3</v>
      </c>
      <c r="F23" s="46">
        <v>1</v>
      </c>
      <c r="G23" s="46">
        <v>2</v>
      </c>
      <c r="H23" s="46">
        <v>0.7</v>
      </c>
      <c r="I23" s="46">
        <v>3</v>
      </c>
      <c r="J23" s="46">
        <v>0</v>
      </c>
      <c r="K23" s="46"/>
      <c r="L23" s="46">
        <v>1</v>
      </c>
      <c r="M23" s="46">
        <v>1</v>
      </c>
      <c r="N23" s="46">
        <v>3</v>
      </c>
      <c r="O23" s="46">
        <v>3</v>
      </c>
      <c r="P23" s="46">
        <v>1</v>
      </c>
      <c r="Q23" s="46"/>
      <c r="R23" s="46">
        <v>0</v>
      </c>
      <c r="S23" s="46">
        <v>0</v>
      </c>
      <c r="T23" s="46">
        <f>IF(AF23&gt;0,1,0)</f>
        <v>1</v>
      </c>
      <c r="U23" s="20">
        <f>SUM(C23:T23)</f>
        <v>23.7</v>
      </c>
      <c r="V23" s="49">
        <f>2</f>
        <v>2</v>
      </c>
      <c r="W23" s="59">
        <f>((U23)*50/51)+V23</f>
        <v>25.235294117647058</v>
      </c>
      <c r="X23" s="87" t="s">
        <v>71</v>
      </c>
      <c r="Y23" s="89" t="s">
        <v>117</v>
      </c>
      <c r="Z23" s="88" t="s">
        <v>118</v>
      </c>
      <c r="AA23" s="53">
        <v>10</v>
      </c>
      <c r="AB23" s="53">
        <v>10</v>
      </c>
      <c r="AC23" s="53">
        <v>10</v>
      </c>
      <c r="AD23" s="20">
        <f>SUM(AA23:AC23)</f>
        <v>30</v>
      </c>
      <c r="AE23" s="53">
        <v>8</v>
      </c>
      <c r="AF23" s="53">
        <v>14</v>
      </c>
      <c r="AG23" s="53">
        <f>$BC$4</f>
        <v>12</v>
      </c>
      <c r="AH23" s="23"/>
      <c r="AI23" s="2">
        <f>SUM(AE23:AH23)</f>
        <v>34</v>
      </c>
      <c r="AJ23" s="20">
        <f>(AD23+AI23)*50/50</f>
        <v>64</v>
      </c>
      <c r="AK23" s="46">
        <v>3</v>
      </c>
      <c r="AL23" s="46">
        <v>3</v>
      </c>
      <c r="AM23" s="46"/>
      <c r="AN23" s="46">
        <v>3</v>
      </c>
      <c r="AO23" s="46">
        <v>3</v>
      </c>
      <c r="AP23" s="46">
        <v>3</v>
      </c>
      <c r="AQ23" s="46">
        <v>3</v>
      </c>
      <c r="AR23" s="46">
        <v>3</v>
      </c>
      <c r="AS23" s="46">
        <v>2.5</v>
      </c>
      <c r="AT23" s="46">
        <v>3</v>
      </c>
      <c r="AU23" s="20">
        <f>SUM(AK23:AT23)</f>
        <v>26.5</v>
      </c>
      <c r="AV23" s="2"/>
      <c r="AW23" s="73">
        <f>12+12+0</f>
        <v>24</v>
      </c>
      <c r="AX23" s="24">
        <f>W23+AJ23+AU23+AW23</f>
        <v>139.73529411764707</v>
      </c>
      <c r="AY23" s="2">
        <f>IF(AX23&gt;=BA23*0.85,5,IF(AX23&gt;=BA23*0.65,4,IF(AX23&gt;=BA23*0.4,3,2)))</f>
        <v>4</v>
      </c>
      <c r="AZ23" s="68"/>
      <c r="BA23" s="69">
        <f>$Z$1</f>
        <v>200</v>
      </c>
      <c r="BB23" s="70"/>
      <c r="BC23" s="70">
        <v>14</v>
      </c>
      <c r="BD23" s="71">
        <f>BC23-AX23</f>
        <v>-125.73529411764707</v>
      </c>
      <c r="BE23" s="72">
        <v>2</v>
      </c>
      <c r="BF23" s="72">
        <v>2</v>
      </c>
      <c r="BG23" s="72"/>
      <c r="BH23" s="72">
        <v>2</v>
      </c>
      <c r="BI23" s="72">
        <v>2</v>
      </c>
      <c r="BJ23" s="72">
        <v>2</v>
      </c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96">
        <v>105</v>
      </c>
      <c r="DC23" s="97">
        <f t="shared" si="0"/>
        <v>-34.73529411764707</v>
      </c>
      <c r="DD23" s="49">
        <v>5.39</v>
      </c>
    </row>
    <row r="24" spans="1:107" ht="12.75" customHeight="1">
      <c r="A24" s="82">
        <f>A23+1</f>
        <v>20</v>
      </c>
      <c r="B24" s="86" t="s">
        <v>66</v>
      </c>
      <c r="C24" s="83">
        <f>IF(AK24&gt;0,3,0)</f>
        <v>3</v>
      </c>
      <c r="D24" s="78">
        <v>0</v>
      </c>
      <c r="E24" s="47">
        <v>1</v>
      </c>
      <c r="F24" s="47">
        <v>3</v>
      </c>
      <c r="G24" s="47">
        <v>3</v>
      </c>
      <c r="H24" s="47">
        <v>0.7</v>
      </c>
      <c r="I24" s="47">
        <v>0</v>
      </c>
      <c r="J24" s="47">
        <v>1.5</v>
      </c>
      <c r="K24" s="47">
        <v>3</v>
      </c>
      <c r="L24" s="47">
        <v>0</v>
      </c>
      <c r="M24" s="47">
        <v>1</v>
      </c>
      <c r="N24" s="47">
        <v>1</v>
      </c>
      <c r="O24" s="47">
        <v>1</v>
      </c>
      <c r="P24" s="47">
        <v>3</v>
      </c>
      <c r="Q24" s="47"/>
      <c r="R24" s="47">
        <v>0</v>
      </c>
      <c r="S24" s="47">
        <v>0</v>
      </c>
      <c r="T24" s="91">
        <f>IF(AF24&gt;0,1,0)</f>
        <v>1</v>
      </c>
      <c r="U24" s="58">
        <f>SUM(C24:T24)</f>
        <v>22.2</v>
      </c>
      <c r="V24" s="30">
        <f>2</f>
        <v>2</v>
      </c>
      <c r="W24" s="60">
        <f>((U24)*50/51)+V24</f>
        <v>23.764705882352942</v>
      </c>
      <c r="X24" s="87" t="s">
        <v>93</v>
      </c>
      <c r="Y24" s="87" t="s">
        <v>100</v>
      </c>
      <c r="Z24" s="88" t="s">
        <v>119</v>
      </c>
      <c r="AA24" s="54">
        <v>10</v>
      </c>
      <c r="AB24" s="54">
        <v>10</v>
      </c>
      <c r="AC24" s="54">
        <v>10</v>
      </c>
      <c r="AD24" s="58">
        <f>SUM(AA24:AC24)</f>
        <v>30</v>
      </c>
      <c r="AE24" s="54">
        <v>8</v>
      </c>
      <c r="AF24" s="54">
        <v>13</v>
      </c>
      <c r="AG24" s="53">
        <f>$BC$4</f>
        <v>12</v>
      </c>
      <c r="AH24" s="5"/>
      <c r="AI24" s="5">
        <f>SUM(AE24:AG24)</f>
        <v>33</v>
      </c>
      <c r="AJ24" s="58">
        <f>(AD24+AI24)*50/50</f>
        <v>63</v>
      </c>
      <c r="AK24" s="47">
        <v>3</v>
      </c>
      <c r="AL24" s="47">
        <v>3</v>
      </c>
      <c r="AM24" s="47"/>
      <c r="AN24" s="47">
        <v>3</v>
      </c>
      <c r="AO24" s="47">
        <v>2</v>
      </c>
      <c r="AP24" s="47">
        <v>3</v>
      </c>
      <c r="AQ24" s="47"/>
      <c r="AR24" s="47">
        <v>3</v>
      </c>
      <c r="AS24" s="47">
        <v>3</v>
      </c>
      <c r="AT24" s="47"/>
      <c r="AU24" s="58">
        <f>SUM(AK24:AT24)</f>
        <v>20</v>
      </c>
      <c r="AV24" s="5"/>
      <c r="AW24" s="67">
        <f>12+12+15</f>
        <v>39</v>
      </c>
      <c r="AX24" s="28">
        <f>W24+AJ24+AU24+AW24</f>
        <v>145.76470588235293</v>
      </c>
      <c r="AY24" s="5">
        <f>IF(AX24&gt;=BA24*0.85,5,IF(AX24&gt;=BA24*0.65,4,IF(AX24&gt;=BA24*0.4,3,2)))</f>
        <v>4</v>
      </c>
      <c r="AZ24" s="8"/>
      <c r="BA24" s="9">
        <f>$Z$1</f>
        <v>200</v>
      </c>
      <c r="BB24" s="10"/>
      <c r="BC24" s="10">
        <v>58</v>
      </c>
      <c r="BD24" s="61">
        <f>BC24-AX24</f>
        <v>-87.76470588235293</v>
      </c>
      <c r="BE24" s="65"/>
      <c r="BF24" s="65">
        <v>2</v>
      </c>
      <c r="BG24" s="65"/>
      <c r="BH24" s="65"/>
      <c r="BI24" s="65"/>
      <c r="BJ24" s="65">
        <v>2</v>
      </c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96">
        <v>95</v>
      </c>
      <c r="DC24" s="97">
        <f t="shared" si="0"/>
        <v>-50.76470588235293</v>
      </c>
    </row>
    <row r="25" spans="1:107" ht="12.75" customHeight="1">
      <c r="A25" s="80">
        <f>A24+1</f>
        <v>21</v>
      </c>
      <c r="B25" s="85" t="s">
        <v>46</v>
      </c>
      <c r="C25" s="81">
        <f>IF(AK25&gt;0,3,0)</f>
        <v>0</v>
      </c>
      <c r="D25" s="77">
        <v>0</v>
      </c>
      <c r="E25" s="46">
        <v>0</v>
      </c>
      <c r="F25" s="46">
        <v>1</v>
      </c>
      <c r="G25" s="46">
        <v>1</v>
      </c>
      <c r="H25" s="46">
        <v>0</v>
      </c>
      <c r="I25" s="46">
        <v>0</v>
      </c>
      <c r="J25" s="46">
        <v>0</v>
      </c>
      <c r="K25" s="46"/>
      <c r="L25" s="46">
        <v>0</v>
      </c>
      <c r="M25" s="46">
        <v>0.75</v>
      </c>
      <c r="N25" s="46">
        <v>0</v>
      </c>
      <c r="O25" s="46">
        <v>0</v>
      </c>
      <c r="P25" s="46">
        <v>0</v>
      </c>
      <c r="Q25" s="46"/>
      <c r="R25" s="46">
        <v>0</v>
      </c>
      <c r="S25" s="46">
        <v>0</v>
      </c>
      <c r="T25" s="46">
        <f>IF(AF25&gt;0,1,0)</f>
        <v>0</v>
      </c>
      <c r="U25" s="20">
        <f>SUM(C25:T25)</f>
        <v>2.75</v>
      </c>
      <c r="V25" s="49"/>
      <c r="W25" s="59">
        <f>((U25)*50/51)+V25</f>
        <v>2.696078431372549</v>
      </c>
      <c r="X25" s="22"/>
      <c r="Y25" s="22"/>
      <c r="Z25" s="22"/>
      <c r="AA25" s="53"/>
      <c r="AB25" s="53"/>
      <c r="AC25" s="53"/>
      <c r="AD25" s="20">
        <f>SUM(AA25:AC25)</f>
        <v>0</v>
      </c>
      <c r="AE25" s="53"/>
      <c r="AF25" s="53"/>
      <c r="AG25" s="53">
        <f>$BC$4</f>
        <v>12</v>
      </c>
      <c r="AH25" s="23"/>
      <c r="AI25" s="2">
        <f>SUM(AE25:AH25)</f>
        <v>12</v>
      </c>
      <c r="AJ25" s="20">
        <f>(AD25+AI25)*50/50</f>
        <v>12</v>
      </c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20">
        <f>SUM(AK25:AT25)</f>
        <v>0</v>
      </c>
      <c r="AV25" s="2"/>
      <c r="AW25" s="7">
        <v>0</v>
      </c>
      <c r="AX25" s="24">
        <f>W25+AJ25+AU25+AW25</f>
        <v>14.696078431372548</v>
      </c>
      <c r="AY25" s="2">
        <f>IF(AX25&gt;=BA25*0.85,5,IF(AX25&gt;=BA25*0.65,4,IF(AX25&gt;=BA25*0.4,3,2)))</f>
        <v>2</v>
      </c>
      <c r="AZ25" s="8"/>
      <c r="BA25" s="9">
        <f>$Z$1</f>
        <v>200</v>
      </c>
      <c r="BB25" s="10"/>
      <c r="BC25" s="10">
        <v>104</v>
      </c>
      <c r="BD25" s="61">
        <f>BC25-AX25</f>
        <v>89.30392156862746</v>
      </c>
      <c r="BE25" s="65"/>
      <c r="BF25" s="65"/>
      <c r="BG25" s="65"/>
      <c r="BH25" s="65"/>
      <c r="BI25" s="65"/>
      <c r="BJ25" s="65">
        <v>2</v>
      </c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96">
        <v>6</v>
      </c>
      <c r="DC25" s="97">
        <f t="shared" si="0"/>
        <v>-8.696078431372548</v>
      </c>
    </row>
    <row r="26" spans="1:107" ht="12" customHeight="1" hidden="1">
      <c r="A26" s="5">
        <f>A25+1</f>
        <v>22</v>
      </c>
      <c r="B26" s="86"/>
      <c r="C26" s="47"/>
      <c r="D26" s="78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58">
        <f>SUM(C26:T26)</f>
        <v>0</v>
      </c>
      <c r="V26" s="30"/>
      <c r="W26" s="60">
        <f>((U26)*50/51)+V26</f>
        <v>0</v>
      </c>
      <c r="X26" s="26"/>
      <c r="Y26" s="26"/>
      <c r="Z26" s="26"/>
      <c r="AA26" s="54"/>
      <c r="AB26" s="54"/>
      <c r="AC26" s="54"/>
      <c r="AD26" s="58">
        <f>SUM(AA26:AC26)</f>
        <v>0</v>
      </c>
      <c r="AE26" s="54"/>
      <c r="AF26" s="54"/>
      <c r="AG26" s="54"/>
      <c r="AH26" s="5"/>
      <c r="AI26" s="5">
        <f>SUM(AE26:AG26)</f>
        <v>0</v>
      </c>
      <c r="AJ26" s="58">
        <f>(AD26+AI26)*50/50</f>
        <v>0</v>
      </c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58">
        <f>SUM(AK26:AT26)</f>
        <v>0</v>
      </c>
      <c r="AV26" s="5"/>
      <c r="AW26" s="67"/>
      <c r="AX26" s="28">
        <f>W26+AJ26+AU26+AW26</f>
        <v>0</v>
      </c>
      <c r="AY26" s="5">
        <f>IF(AX26&gt;=BA26*0.85,5,IF(AX26&gt;=BA26*0.65,4,IF(AX26&gt;=BA26*0.4,3,2)))</f>
        <v>2</v>
      </c>
      <c r="AZ26" s="8"/>
      <c r="BA26" s="9">
        <f>$Z$1</f>
        <v>200</v>
      </c>
      <c r="BB26" s="10"/>
      <c r="BC26" s="10">
        <v>138</v>
      </c>
      <c r="BD26" s="61">
        <f>BC26-AX26</f>
        <v>138</v>
      </c>
      <c r="BE26" s="65">
        <v>2</v>
      </c>
      <c r="BF26" s="65">
        <v>2</v>
      </c>
      <c r="BG26" s="65">
        <v>2</v>
      </c>
      <c r="BH26" s="65">
        <v>2</v>
      </c>
      <c r="BI26" s="65">
        <v>2</v>
      </c>
      <c r="BJ26" s="65">
        <v>2</v>
      </c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96"/>
      <c r="DC26" s="96"/>
    </row>
    <row r="27" spans="1:107" ht="12.75" customHeight="1" hidden="1">
      <c r="A27" s="2">
        <f>A26+1</f>
        <v>23</v>
      </c>
      <c r="B27" s="84"/>
      <c r="C27" s="46"/>
      <c r="D27" s="77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20">
        <f>SUM(C27:T27)</f>
        <v>0</v>
      </c>
      <c r="V27" s="49"/>
      <c r="W27" s="59">
        <f>((U27)*50/51)+V27</f>
        <v>0</v>
      </c>
      <c r="X27" s="22"/>
      <c r="Y27" s="22"/>
      <c r="Z27" s="22"/>
      <c r="AA27" s="53"/>
      <c r="AB27" s="53"/>
      <c r="AC27" s="53"/>
      <c r="AD27" s="20">
        <f>SUM(AA27:AC27)</f>
        <v>0</v>
      </c>
      <c r="AE27" s="53"/>
      <c r="AF27" s="53"/>
      <c r="AG27" s="53"/>
      <c r="AH27" s="23"/>
      <c r="AI27" s="2">
        <f>SUM(AE27:AH27)</f>
        <v>0</v>
      </c>
      <c r="AJ27" s="20">
        <f>(AD27+AI27)*50/50</f>
        <v>0</v>
      </c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20">
        <f>SUM(AK27:AT27)</f>
        <v>0</v>
      </c>
      <c r="AV27" s="2"/>
      <c r="AW27" s="7"/>
      <c r="AX27" s="24">
        <f>W27+AJ27+AU27+AW27</f>
        <v>0</v>
      </c>
      <c r="AY27" s="2">
        <f>IF(AX27&gt;=BA27*0.85,5,IF(AX27&gt;=BA27*0.65,4,IF(AX27&gt;=BA27*0.4,3,2)))</f>
        <v>2</v>
      </c>
      <c r="AZ27" s="8"/>
      <c r="BA27" s="9">
        <f>$Z$1</f>
        <v>200</v>
      </c>
      <c r="BB27" s="10"/>
      <c r="BC27" s="10"/>
      <c r="BD27" s="61">
        <f>BC27-AX27</f>
        <v>0</v>
      </c>
      <c r="BE27" s="65">
        <v>2</v>
      </c>
      <c r="BF27" s="65"/>
      <c r="BG27" s="65">
        <v>2</v>
      </c>
      <c r="BH27" s="65">
        <v>2</v>
      </c>
      <c r="BI27" s="65">
        <v>2</v>
      </c>
      <c r="BJ27" s="65">
        <v>2</v>
      </c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96"/>
      <c r="DC27" s="96"/>
    </row>
    <row r="28" spans="1:107" ht="12.75" customHeight="1" hidden="1">
      <c r="A28" s="5">
        <f>A27+1</f>
        <v>24</v>
      </c>
      <c r="B28" s="76"/>
      <c r="C28" s="47"/>
      <c r="D28" s="78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58">
        <f>SUM(C28:T28)</f>
        <v>0</v>
      </c>
      <c r="V28" s="30"/>
      <c r="W28" s="60">
        <f>((U28)*50/51)+V28</f>
        <v>0</v>
      </c>
      <c r="X28" s="26"/>
      <c r="Y28" s="26"/>
      <c r="Z28" s="26"/>
      <c r="AA28" s="54"/>
      <c r="AB28" s="54"/>
      <c r="AC28" s="54"/>
      <c r="AD28" s="58">
        <f>SUM(AA28:AC28)</f>
        <v>0</v>
      </c>
      <c r="AE28" s="54"/>
      <c r="AF28" s="54"/>
      <c r="AG28" s="54"/>
      <c r="AH28" s="5"/>
      <c r="AI28" s="5">
        <f>SUM(AE28:AG28)</f>
        <v>0</v>
      </c>
      <c r="AJ28" s="58">
        <f>(AD28+AI28)*50/50</f>
        <v>0</v>
      </c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58">
        <f>SUM(AK28:AT28)</f>
        <v>0</v>
      </c>
      <c r="AV28" s="5"/>
      <c r="AW28" s="67"/>
      <c r="AX28" s="28">
        <f>W28+AJ28+AU28+AW28</f>
        <v>0</v>
      </c>
      <c r="AY28" s="5">
        <f>IF(AX28&gt;=BA28*0.85,5,IF(AX28&gt;=BA28*0.65,4,IF(AX28&gt;=BA28*0.4,3,2)))</f>
        <v>2</v>
      </c>
      <c r="AZ28" s="8"/>
      <c r="BA28" s="9">
        <f>$Z$1</f>
        <v>200</v>
      </c>
      <c r="BB28" s="10"/>
      <c r="BC28" s="10"/>
      <c r="BD28" s="61">
        <f>BC28-AX28</f>
        <v>0</v>
      </c>
      <c r="BE28" s="65">
        <v>2</v>
      </c>
      <c r="BF28" s="65">
        <v>2</v>
      </c>
      <c r="BG28" s="65"/>
      <c r="BH28" s="65">
        <v>2</v>
      </c>
      <c r="BI28" s="65">
        <v>2</v>
      </c>
      <c r="BJ28" s="65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96"/>
      <c r="DC28" s="96"/>
    </row>
    <row r="29" spans="1:107" ht="12.75" customHeight="1" hidden="1">
      <c r="A29" s="2">
        <f>A28+1</f>
        <v>25</v>
      </c>
      <c r="B29" s="75"/>
      <c r="C29" s="46"/>
      <c r="D29" s="77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20">
        <f>SUM(C29:T29)</f>
        <v>0</v>
      </c>
      <c r="V29" s="49"/>
      <c r="W29" s="59">
        <f>((U29)*50/51)+V29</f>
        <v>0</v>
      </c>
      <c r="X29" s="22"/>
      <c r="Y29" s="22"/>
      <c r="Z29" s="22"/>
      <c r="AA29" s="53"/>
      <c r="AB29" s="53"/>
      <c r="AC29" s="53"/>
      <c r="AD29" s="20">
        <f>SUM(AA29:AC29)</f>
        <v>0</v>
      </c>
      <c r="AE29" s="53"/>
      <c r="AF29" s="53"/>
      <c r="AG29" s="53"/>
      <c r="AH29" s="23"/>
      <c r="AI29" s="2">
        <f>SUM(AE29:AH29)</f>
        <v>0</v>
      </c>
      <c r="AJ29" s="20">
        <f>(AD29+AI29)*50/50</f>
        <v>0</v>
      </c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20">
        <f>SUM(AK29:AT29)</f>
        <v>0</v>
      </c>
      <c r="AV29" s="2"/>
      <c r="AW29" s="7"/>
      <c r="AX29" s="24">
        <f>W29+AJ29+AU29+AW29</f>
        <v>0</v>
      </c>
      <c r="AY29" s="2">
        <f>IF(AX29&gt;=BA29*0.85,5,IF(AX29&gt;=BA29*0.65,4,IF(AX29&gt;=BA29*0.4,3,2)))</f>
        <v>2</v>
      </c>
      <c r="AZ29" s="68"/>
      <c r="BA29" s="69">
        <f>$Z$1</f>
        <v>200</v>
      </c>
      <c r="BB29" s="70"/>
      <c r="BC29" s="70">
        <v>55</v>
      </c>
      <c r="BD29" s="71">
        <f>BC29-AX29</f>
        <v>55</v>
      </c>
      <c r="BE29" s="72">
        <v>2</v>
      </c>
      <c r="BF29" s="72">
        <v>2</v>
      </c>
      <c r="BG29" s="72">
        <v>2</v>
      </c>
      <c r="BH29" s="72">
        <v>2</v>
      </c>
      <c r="BI29" s="72">
        <v>2</v>
      </c>
      <c r="BJ29" s="72">
        <v>2</v>
      </c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96"/>
      <c r="DC29" s="96"/>
    </row>
    <row r="30" spans="1:107" ht="12.75" customHeight="1" hidden="1">
      <c r="A30" s="5">
        <f>A29+1</f>
        <v>26</v>
      </c>
      <c r="B30" s="74"/>
      <c r="C30" s="47"/>
      <c r="D30" s="78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58">
        <f>SUM(C30:T30)</f>
        <v>0</v>
      </c>
      <c r="V30" s="30"/>
      <c r="W30" s="60">
        <f>((U30)*50/51)+V30</f>
        <v>0</v>
      </c>
      <c r="X30" s="26"/>
      <c r="Y30" s="26"/>
      <c r="Z30" s="26"/>
      <c r="AA30" s="54"/>
      <c r="AB30" s="54"/>
      <c r="AC30" s="54"/>
      <c r="AD30" s="58">
        <f>SUM(AA30:AC30)</f>
        <v>0</v>
      </c>
      <c r="AE30" s="54"/>
      <c r="AF30" s="54"/>
      <c r="AG30" s="54"/>
      <c r="AH30" s="5"/>
      <c r="AI30" s="5">
        <f>SUM(AE30:AG30)</f>
        <v>0</v>
      </c>
      <c r="AJ30" s="58">
        <f>(AD30+AI30)*50/50</f>
        <v>0</v>
      </c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58">
        <f>SUM(AK30:AT30)</f>
        <v>0</v>
      </c>
      <c r="AV30" s="5"/>
      <c r="AW30" s="67"/>
      <c r="AX30" s="28">
        <f>W30+AJ30+AU30+AW30</f>
        <v>0</v>
      </c>
      <c r="AY30" s="5">
        <f>IF(AX30&gt;=BA30*0.85,5,IF(AX30&gt;=BA30*0.65,4,IF(AX30&gt;=BA30*0.4,3,2)))</f>
        <v>2</v>
      </c>
      <c r="AZ30" s="68"/>
      <c r="BA30" s="69">
        <f>$Z$1</f>
        <v>200</v>
      </c>
      <c r="BB30" s="70"/>
      <c r="BC30" s="70">
        <v>114</v>
      </c>
      <c r="BD30" s="71">
        <f>BC30-AX30</f>
        <v>114</v>
      </c>
      <c r="BE30" s="72">
        <v>2</v>
      </c>
      <c r="BF30" s="72">
        <v>2</v>
      </c>
      <c r="BG30" s="72"/>
      <c r="BH30" s="72">
        <v>2</v>
      </c>
      <c r="BI30" s="72">
        <v>2</v>
      </c>
      <c r="BJ30" s="72">
        <v>2</v>
      </c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96"/>
      <c r="DC30" s="96"/>
    </row>
    <row r="31" spans="1:107" ht="12.75" customHeight="1" hidden="1">
      <c r="A31" s="2">
        <f>A30+1</f>
        <v>27</v>
      </c>
      <c r="B31" s="56"/>
      <c r="C31" s="46"/>
      <c r="D31" s="77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20">
        <f>SUM(C31:T31)</f>
        <v>0</v>
      </c>
      <c r="V31" s="49"/>
      <c r="W31" s="59">
        <f>((U31)*50/42)+V31</f>
        <v>0</v>
      </c>
      <c r="X31" s="22"/>
      <c r="Y31" s="22"/>
      <c r="Z31" s="22"/>
      <c r="AA31" s="53"/>
      <c r="AB31" s="53"/>
      <c r="AC31" s="53"/>
      <c r="AD31" s="20">
        <f>SUM(AA31:AC31)</f>
        <v>0</v>
      </c>
      <c r="AE31" s="53"/>
      <c r="AF31" s="53"/>
      <c r="AG31" s="53"/>
      <c r="AH31" s="23"/>
      <c r="AI31" s="2">
        <f>SUM(AE31:AH31)</f>
        <v>0</v>
      </c>
      <c r="AJ31" s="20">
        <f>(AD31+AI31)*50/50</f>
        <v>0</v>
      </c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20">
        <f>SUM(AK31:AT31)</f>
        <v>0</v>
      </c>
      <c r="AV31" s="2"/>
      <c r="AW31" s="7"/>
      <c r="AX31" s="24">
        <f>W31+AJ31+AU31+AW31</f>
        <v>0</v>
      </c>
      <c r="AY31" s="2">
        <f aca="true" t="shared" si="1" ref="AY31:AY36">IF(AX31&gt;=BA31*0.8,5,IF(AX31&gt;=BA31*0.6,4,IF(AX31&gt;=BA31*0.4,3,2)))</f>
        <v>2</v>
      </c>
      <c r="AZ31" s="8"/>
      <c r="BA31" s="9">
        <f>$Z$1</f>
        <v>200</v>
      </c>
      <c r="BB31" s="10"/>
      <c r="BC31" s="10">
        <v>44</v>
      </c>
      <c r="BD31" s="61">
        <f>BC31-AX31</f>
        <v>44</v>
      </c>
      <c r="BE31" s="65">
        <v>2</v>
      </c>
      <c r="BF31" s="65"/>
      <c r="BG31" s="65">
        <v>2</v>
      </c>
      <c r="BH31" s="65"/>
      <c r="BI31" s="65">
        <v>2</v>
      </c>
      <c r="BJ31" s="65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96"/>
      <c r="DC31" s="96"/>
    </row>
    <row r="32" spans="1:107" ht="12.75" customHeight="1" hidden="1">
      <c r="A32" s="5">
        <f>A31+1</f>
        <v>28</v>
      </c>
      <c r="B32" s="57"/>
      <c r="C32" s="47"/>
      <c r="D32" s="78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58">
        <f>SUM(C32:T32)</f>
        <v>0</v>
      </c>
      <c r="V32" s="30"/>
      <c r="W32" s="60">
        <f>((U32)*50/42)+V32</f>
        <v>0</v>
      </c>
      <c r="X32" s="26"/>
      <c r="Y32" s="26"/>
      <c r="Z32" s="26"/>
      <c r="AA32" s="54"/>
      <c r="AB32" s="54"/>
      <c r="AC32" s="54"/>
      <c r="AD32" s="58">
        <f>SUM(AA32:AC32)</f>
        <v>0</v>
      </c>
      <c r="AE32" s="54"/>
      <c r="AF32" s="54"/>
      <c r="AG32" s="54"/>
      <c r="AH32" s="5"/>
      <c r="AI32" s="5">
        <f>SUM(AE32:AG32)</f>
        <v>0</v>
      </c>
      <c r="AJ32" s="58">
        <f>(AD32+AI32)*50/50</f>
        <v>0</v>
      </c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58">
        <f>SUM(AK32:AT32)</f>
        <v>0</v>
      </c>
      <c r="AV32" s="5"/>
      <c r="AW32" s="67"/>
      <c r="AX32" s="28">
        <f>W32+AJ32+AU32+AW32</f>
        <v>0</v>
      </c>
      <c r="AY32" s="5">
        <f t="shared" si="1"/>
        <v>2</v>
      </c>
      <c r="AZ32" s="8"/>
      <c r="BA32" s="9">
        <f>$Z$1</f>
        <v>200</v>
      </c>
      <c r="BB32" s="10"/>
      <c r="BC32" s="10"/>
      <c r="BD32" s="10"/>
      <c r="BE32" s="65">
        <v>2</v>
      </c>
      <c r="BF32" s="65"/>
      <c r="BG32" s="65"/>
      <c r="BH32" s="65"/>
      <c r="BI32" s="66">
        <v>2</v>
      </c>
      <c r="BJ32" s="65">
        <v>2</v>
      </c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96"/>
      <c r="DC32" s="96"/>
    </row>
    <row r="33" spans="1:107" ht="12.75" customHeight="1" hidden="1">
      <c r="A33" s="2">
        <f>A32+1</f>
        <v>29</v>
      </c>
      <c r="B33" s="56"/>
      <c r="C33" s="46"/>
      <c r="D33" s="77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20">
        <f>SUM(C33:T33)</f>
        <v>0</v>
      </c>
      <c r="V33" s="49"/>
      <c r="W33" s="59">
        <f>((U33)*50/42)+V33</f>
        <v>0</v>
      </c>
      <c r="X33" s="22"/>
      <c r="Y33" s="22"/>
      <c r="Z33" s="22"/>
      <c r="AA33" s="53"/>
      <c r="AB33" s="53"/>
      <c r="AC33" s="53"/>
      <c r="AD33" s="20">
        <f>SUM(AA33:AC33)</f>
        <v>0</v>
      </c>
      <c r="AE33" s="53"/>
      <c r="AF33" s="53"/>
      <c r="AG33" s="53"/>
      <c r="AH33" s="23"/>
      <c r="AI33" s="2">
        <f>SUM(AE33:AH33)</f>
        <v>0</v>
      </c>
      <c r="AJ33" s="20">
        <f>(AD33+AI33)*50/50</f>
        <v>0</v>
      </c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20">
        <f>SUM(AK33:AT33)</f>
        <v>0</v>
      </c>
      <c r="AV33" s="2"/>
      <c r="AW33" s="7"/>
      <c r="AX33" s="24">
        <f>W33+AJ33+AU33+AW33</f>
        <v>0</v>
      </c>
      <c r="AY33" s="2">
        <f t="shared" si="1"/>
        <v>2</v>
      </c>
      <c r="AZ33" s="8"/>
      <c r="BA33" s="9">
        <f>$Z$1</f>
        <v>200</v>
      </c>
      <c r="BB33" s="10"/>
      <c r="BC33" s="10"/>
      <c r="BD33" s="10"/>
      <c r="BE33" s="65">
        <v>2</v>
      </c>
      <c r="BF33" s="65"/>
      <c r="BG33" s="65">
        <v>2</v>
      </c>
      <c r="BH33" s="65"/>
      <c r="BI33" s="66">
        <v>2</v>
      </c>
      <c r="BJ33" s="65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96"/>
      <c r="DC33" s="96"/>
    </row>
    <row r="34" spans="1:107" ht="12.75" customHeight="1" hidden="1">
      <c r="A34" s="5">
        <f>A33+1</f>
        <v>30</v>
      </c>
      <c r="B34" s="57"/>
      <c r="C34" s="47"/>
      <c r="D34" s="78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58">
        <f>SUM(C34:T34)</f>
        <v>0</v>
      </c>
      <c r="V34" s="30"/>
      <c r="W34" s="60">
        <f>((U34)*50/42)+V34</f>
        <v>0</v>
      </c>
      <c r="X34" s="26"/>
      <c r="Y34" s="26"/>
      <c r="Z34" s="26"/>
      <c r="AA34" s="54"/>
      <c r="AB34" s="54"/>
      <c r="AC34" s="54"/>
      <c r="AD34" s="58">
        <f>SUM(AA34:AC34)</f>
        <v>0</v>
      </c>
      <c r="AE34" s="54"/>
      <c r="AF34" s="54"/>
      <c r="AG34" s="54"/>
      <c r="AH34" s="5"/>
      <c r="AI34" s="5">
        <f>SUM(AE34:AG34)</f>
        <v>0</v>
      </c>
      <c r="AJ34" s="58">
        <f>(AD34+AI34)*50/50</f>
        <v>0</v>
      </c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58">
        <f>SUM(AK34:AT34)</f>
        <v>0</v>
      </c>
      <c r="AV34" s="5"/>
      <c r="AW34" s="67"/>
      <c r="AX34" s="28">
        <f>W34+AJ34+AU34+AW34</f>
        <v>0</v>
      </c>
      <c r="AY34" s="5">
        <f t="shared" si="1"/>
        <v>2</v>
      </c>
      <c r="AZ34" s="8"/>
      <c r="BA34" s="9">
        <f>$Z$1</f>
        <v>200</v>
      </c>
      <c r="BB34" s="10"/>
      <c r="BC34" s="10"/>
      <c r="BD34" s="10"/>
      <c r="BE34" s="65"/>
      <c r="BF34" s="65"/>
      <c r="BG34" s="65"/>
      <c r="BH34" s="65"/>
      <c r="BI34" s="66"/>
      <c r="BJ34" s="65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96"/>
      <c r="DC34" s="96"/>
    </row>
    <row r="35" spans="1:107" ht="12.75" hidden="1">
      <c r="A35" s="7">
        <f>A34+1</f>
        <v>31</v>
      </c>
      <c r="B35" s="51"/>
      <c r="C35" s="46"/>
      <c r="D35" s="77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7">
        <f>SUM(C35:S35)</f>
        <v>0</v>
      </c>
      <c r="V35" s="50"/>
      <c r="W35" s="21">
        <f>(U35)*50/36</f>
        <v>0</v>
      </c>
      <c r="X35" s="29"/>
      <c r="Y35" s="29"/>
      <c r="Z35" s="29"/>
      <c r="AA35" s="53"/>
      <c r="AB35" s="53"/>
      <c r="AC35" s="53"/>
      <c r="AD35" s="7">
        <f>SUM(AA35:AC35)</f>
        <v>0</v>
      </c>
      <c r="AE35" s="53"/>
      <c r="AF35" s="53"/>
      <c r="AG35" s="53"/>
      <c r="AH35" s="31"/>
      <c r="AI35" s="2">
        <f>SUM(AE35:AH35)</f>
        <v>0</v>
      </c>
      <c r="AJ35" s="2">
        <f>(AD35+AI35)*50/50</f>
        <v>0</v>
      </c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1">
        <f>SUM(AK35:AT35)</f>
        <v>0</v>
      </c>
      <c r="AV35" s="7"/>
      <c r="AW35" s="7"/>
      <c r="AX35" s="24">
        <f>W35+AJ35+AU35+AW35</f>
        <v>0</v>
      </c>
      <c r="AY35" s="2">
        <f t="shared" si="1"/>
        <v>2</v>
      </c>
      <c r="AZ35" s="8"/>
      <c r="BA35" s="9">
        <f>$Z$1</f>
        <v>200</v>
      </c>
      <c r="BB35" s="10"/>
      <c r="BC35" s="10"/>
      <c r="BD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96"/>
      <c r="DC35" s="96"/>
    </row>
    <row r="36" spans="1:107" ht="12.75" hidden="1">
      <c r="A36" s="5">
        <f>A35+1</f>
        <v>32</v>
      </c>
      <c r="B36" s="52"/>
      <c r="C36" s="47"/>
      <c r="D36" s="78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5">
        <f>SUM(C36:S36)</f>
        <v>0</v>
      </c>
      <c r="V36" s="30"/>
      <c r="W36" s="25">
        <f>(U36)*50/36</f>
        <v>0</v>
      </c>
      <c r="X36" s="26"/>
      <c r="Y36" s="26"/>
      <c r="Z36" s="26"/>
      <c r="AA36" s="54"/>
      <c r="AB36" s="54"/>
      <c r="AC36" s="54"/>
      <c r="AD36" s="5">
        <f>SUM(AA36:AC36)</f>
        <v>0</v>
      </c>
      <c r="AE36" s="54"/>
      <c r="AF36" s="54"/>
      <c r="AG36" s="54"/>
      <c r="AH36" s="32"/>
      <c r="AI36" s="5">
        <f>SUM(AE36:AG36)</f>
        <v>0</v>
      </c>
      <c r="AJ36" s="5">
        <f>(AD36+AI36)*50/50</f>
        <v>0</v>
      </c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2">
        <f>SUM(AK36:AT36)</f>
        <v>0</v>
      </c>
      <c r="AV36" s="5"/>
      <c r="AW36" s="5"/>
      <c r="AX36" s="28">
        <f>W36+AJ36+AU36+AW36</f>
        <v>0</v>
      </c>
      <c r="AY36" s="5">
        <f t="shared" si="1"/>
        <v>2</v>
      </c>
      <c r="AZ36" s="8"/>
      <c r="BA36" s="9">
        <f>$Z$1</f>
        <v>200</v>
      </c>
      <c r="BB36" s="10"/>
      <c r="BC36" s="10"/>
      <c r="BD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96"/>
      <c r="DC36" s="96"/>
    </row>
    <row r="37" spans="1:107" ht="12.75">
      <c r="A37" s="2"/>
      <c r="B37" s="2"/>
      <c r="C37" s="79">
        <f>COUNTIF(C5:C36,"&gt;0")</f>
        <v>15</v>
      </c>
      <c r="D37" s="43">
        <f>COUNTIF(D5:D36,"&gt;0")</f>
        <v>12</v>
      </c>
      <c r="E37" s="43">
        <f>COUNTIF(E5:E36,"&gt;0")</f>
        <v>15</v>
      </c>
      <c r="F37" s="43">
        <f>COUNTIF(F5:F36,"&gt;0")</f>
        <v>17</v>
      </c>
      <c r="G37" s="43">
        <f aca="true" t="shared" si="2" ref="G37:Z37">COUNTIF(G5:G36,"&gt;0")</f>
        <v>17</v>
      </c>
      <c r="H37" s="43">
        <f t="shared" si="2"/>
        <v>15</v>
      </c>
      <c r="I37" s="43">
        <f t="shared" si="2"/>
        <v>15</v>
      </c>
      <c r="J37" s="43">
        <f t="shared" si="2"/>
        <v>14</v>
      </c>
      <c r="K37" s="43">
        <f t="shared" si="2"/>
        <v>11</v>
      </c>
      <c r="L37" s="43">
        <f t="shared" si="2"/>
        <v>17</v>
      </c>
      <c r="M37" s="43">
        <f t="shared" si="2"/>
        <v>14</v>
      </c>
      <c r="N37" s="43">
        <f t="shared" si="2"/>
        <v>14</v>
      </c>
      <c r="O37" s="43">
        <f t="shared" si="2"/>
        <v>17</v>
      </c>
      <c r="P37" s="43">
        <f t="shared" si="2"/>
        <v>15</v>
      </c>
      <c r="Q37" s="43">
        <f t="shared" si="2"/>
        <v>0</v>
      </c>
      <c r="R37" s="43">
        <f t="shared" si="2"/>
        <v>7</v>
      </c>
      <c r="S37" s="43">
        <f t="shared" si="2"/>
        <v>14</v>
      </c>
      <c r="T37" s="43">
        <f t="shared" si="2"/>
        <v>20</v>
      </c>
      <c r="U37" s="3"/>
      <c r="V37" s="43">
        <f t="shared" si="2"/>
        <v>16</v>
      </c>
      <c r="W37" s="15"/>
      <c r="X37" s="43">
        <f t="shared" si="2"/>
        <v>0</v>
      </c>
      <c r="Y37" s="43">
        <f t="shared" si="2"/>
        <v>0</v>
      </c>
      <c r="Z37" s="43">
        <f t="shared" si="2"/>
        <v>0</v>
      </c>
      <c r="AA37" s="43">
        <f>COUNTIF(AA5:AA36,"&gt;0")</f>
        <v>19</v>
      </c>
      <c r="AB37" s="43">
        <f>COUNTIF(AB5:AB36,"&gt;0")</f>
        <v>19</v>
      </c>
      <c r="AC37" s="43">
        <f>COUNTIF(AC5:AC36,"&gt;0")</f>
        <v>16</v>
      </c>
      <c r="AD37" s="3"/>
      <c r="AE37" s="43">
        <f>COUNTIF(AE5:AE36,"&gt;0")</f>
        <v>19</v>
      </c>
      <c r="AF37" s="43">
        <f>COUNTIF(AF5:AF36,"&gt;0")</f>
        <v>20</v>
      </c>
      <c r="AG37" s="43">
        <f>COUNTIF(AG5:AG36,"&gt;0")</f>
        <v>21</v>
      </c>
      <c r="AH37" s="3"/>
      <c r="AI37" s="3"/>
      <c r="AJ37" s="3"/>
      <c r="AK37" s="43">
        <f aca="true" t="shared" si="3" ref="AK37:AT37">COUNTIF(AK5:AK36,"&gt;0")</f>
        <v>15</v>
      </c>
      <c r="AL37" s="43">
        <f t="shared" si="3"/>
        <v>16</v>
      </c>
      <c r="AM37" s="43">
        <f t="shared" si="3"/>
        <v>12</v>
      </c>
      <c r="AN37" s="43">
        <f t="shared" si="3"/>
        <v>13</v>
      </c>
      <c r="AO37" s="43">
        <f t="shared" si="3"/>
        <v>13</v>
      </c>
      <c r="AP37" s="43">
        <f t="shared" si="3"/>
        <v>20</v>
      </c>
      <c r="AQ37" s="43">
        <f t="shared" si="3"/>
        <v>13</v>
      </c>
      <c r="AR37" s="43">
        <f t="shared" si="3"/>
        <v>14</v>
      </c>
      <c r="AS37" s="43">
        <f t="shared" si="3"/>
        <v>13</v>
      </c>
      <c r="AT37" s="43">
        <f t="shared" si="3"/>
        <v>10</v>
      </c>
      <c r="AU37" s="3" t="s">
        <v>9</v>
      </c>
      <c r="AV37" s="3">
        <v>1</v>
      </c>
      <c r="AW37" s="43">
        <f>COUNTIF(AW5:AW36,"&gt;0")</f>
        <v>20</v>
      </c>
      <c r="AX37" s="3"/>
      <c r="AY37" s="3"/>
      <c r="AZ37" s="8"/>
      <c r="BA37" s="10"/>
      <c r="BB37" s="10"/>
      <c r="BC37" s="10"/>
      <c r="BD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DB37" s="96"/>
      <c r="DC37" s="96"/>
    </row>
    <row r="38" spans="1:107" ht="12.75">
      <c r="A38" s="39" t="s">
        <v>68</v>
      </c>
      <c r="B38" s="3"/>
      <c r="C38" s="3"/>
      <c r="D38" s="3"/>
      <c r="E38" s="3"/>
      <c r="F38" s="3"/>
      <c r="G38" s="3"/>
      <c r="H38" s="3"/>
      <c r="I38" s="3"/>
      <c r="J38" s="39" t="s">
        <v>13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15" t="s">
        <v>29</v>
      </c>
      <c r="Y38" s="15"/>
      <c r="Z38" s="15"/>
      <c r="AA38" s="43">
        <f>AA37+AB37+AC37</f>
        <v>54</v>
      </c>
      <c r="AB38" s="3"/>
      <c r="AC38" s="3"/>
      <c r="AD38" s="3"/>
      <c r="AE38" s="43">
        <f>AE37+AF37+AG37</f>
        <v>60</v>
      </c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8"/>
      <c r="BA38" s="10"/>
      <c r="BB38" s="10"/>
      <c r="BC38" s="10"/>
      <c r="BD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DB38" s="96"/>
      <c r="DC38" s="96"/>
    </row>
    <row r="39" spans="1:107" ht="12.75">
      <c r="A39" s="39"/>
      <c r="B39" s="3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15"/>
      <c r="Y39" s="15"/>
      <c r="Z39" s="17"/>
      <c r="AB39" s="3"/>
      <c r="AC39" s="3"/>
      <c r="AD39" s="3"/>
      <c r="AE39" s="15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8"/>
      <c r="BA39" s="10"/>
      <c r="BB39" s="10"/>
      <c r="BC39" s="10"/>
      <c r="BD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DB39" s="96"/>
      <c r="DC39" s="96"/>
    </row>
    <row r="40" spans="2:107" ht="12.75">
      <c r="B40" s="39"/>
      <c r="AZ40" s="10"/>
      <c r="BA40" s="10"/>
      <c r="BB40" s="10"/>
      <c r="BC40" s="10"/>
      <c r="BD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DB40" s="96"/>
      <c r="DC40" s="96"/>
    </row>
    <row r="41" spans="52:107" ht="12.75">
      <c r="AZ41" s="10"/>
      <c r="BA41" s="10"/>
      <c r="BB41" s="10"/>
      <c r="BC41" s="10"/>
      <c r="BD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DB41" s="96"/>
      <c r="DC41" s="96"/>
    </row>
    <row r="42" spans="52:107" ht="12.75">
      <c r="AZ42" s="10"/>
      <c r="BA42" s="10"/>
      <c r="BB42" s="10"/>
      <c r="BC42" s="10"/>
      <c r="BD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DB42" s="96"/>
      <c r="DC42" s="96"/>
    </row>
    <row r="43" spans="52:107" ht="12.75">
      <c r="AZ43" s="10"/>
      <c r="BA43" s="10"/>
      <c r="BB43" s="10"/>
      <c r="BC43" s="10"/>
      <c r="BD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DB43" s="96"/>
      <c r="DC43" s="96"/>
    </row>
    <row r="44" spans="52:107" ht="12.75">
      <c r="AZ44" s="10"/>
      <c r="BA44" s="10"/>
      <c r="BB44" s="10"/>
      <c r="BC44" s="10"/>
      <c r="BD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DB44" s="96"/>
      <c r="DC44" s="96"/>
    </row>
    <row r="45" spans="52:107" ht="12.75">
      <c r="AZ45" s="10"/>
      <c r="BA45" s="10"/>
      <c r="BB45" s="10"/>
      <c r="BC45" s="10"/>
      <c r="BD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DB45" s="96"/>
      <c r="DC45" s="96"/>
    </row>
    <row r="46" spans="52:73" ht="12.75">
      <c r="AZ46" s="10"/>
      <c r="BA46" s="10"/>
      <c r="BB46" s="10"/>
      <c r="BC46" s="10"/>
      <c r="BD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52:73" ht="12.75">
      <c r="AZ47" s="10"/>
      <c r="BA47" s="10"/>
      <c r="BB47" s="10"/>
      <c r="BC47" s="10"/>
      <c r="BD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52:73" ht="12.75">
      <c r="AZ48" s="10"/>
      <c r="BA48" s="10"/>
      <c r="BB48" s="10"/>
      <c r="BC48" s="10"/>
      <c r="BD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52:73" ht="12.75">
      <c r="AZ49" s="10"/>
      <c r="BA49" s="10"/>
      <c r="BB49" s="10"/>
      <c r="BC49" s="10"/>
      <c r="BD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52:73" ht="12.75">
      <c r="AZ50" s="10"/>
      <c r="BA50" s="10"/>
      <c r="BB50" s="10"/>
      <c r="BC50" s="10"/>
      <c r="BD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52:73" ht="12.75">
      <c r="AZ51" s="10"/>
      <c r="BA51" s="10"/>
      <c r="BB51" s="10"/>
      <c r="BC51" s="10"/>
      <c r="BD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52:73" ht="12.75">
      <c r="AZ52" s="10"/>
      <c r="BA52" s="10"/>
      <c r="BB52" s="10"/>
      <c r="BC52" s="10"/>
      <c r="BD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52:73" ht="12.75">
      <c r="AZ53" s="10"/>
      <c r="BA53" s="10"/>
      <c r="BB53" s="10"/>
      <c r="BC53" s="10"/>
      <c r="BD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52:73" ht="12.75">
      <c r="AZ54" s="10"/>
      <c r="BA54" s="10"/>
      <c r="BB54" s="10"/>
      <c r="BC54" s="10"/>
      <c r="BD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52:73" ht="12.75">
      <c r="AZ55" s="10"/>
      <c r="BA55" s="10"/>
      <c r="BB55" s="10"/>
      <c r="BC55" s="10"/>
      <c r="BD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52:73" ht="12.75">
      <c r="AZ56" s="10"/>
      <c r="BA56" s="10"/>
      <c r="BB56" s="10"/>
      <c r="BC56" s="10"/>
      <c r="BD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52:73" ht="12.75">
      <c r="AZ57" s="10"/>
      <c r="BA57" s="10"/>
      <c r="BB57" s="10"/>
      <c r="BC57" s="10"/>
      <c r="BD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52:73" ht="12.75">
      <c r="AZ58" s="10"/>
      <c r="BA58" s="10"/>
      <c r="BB58" s="10"/>
      <c r="BC58" s="10"/>
      <c r="BD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52:73" ht="12.75">
      <c r="AZ59" s="10"/>
      <c r="BA59" s="10"/>
      <c r="BB59" s="10"/>
      <c r="BC59" s="10"/>
      <c r="BD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52:73" ht="12.75">
      <c r="AZ60" s="10"/>
      <c r="BA60" s="10"/>
      <c r="BB60" s="10"/>
      <c r="BC60" s="10"/>
      <c r="BD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52:73" ht="12.75">
      <c r="AZ61" s="10"/>
      <c r="BA61" s="10"/>
      <c r="BB61" s="10"/>
      <c r="BC61" s="10"/>
      <c r="BD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52:73" ht="12.75">
      <c r="AZ62" s="10"/>
      <c r="BA62" s="10"/>
      <c r="BB62" s="10"/>
      <c r="BC62" s="10"/>
      <c r="BD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52:73" ht="12.75">
      <c r="AZ63" s="10"/>
      <c r="BA63" s="10"/>
      <c r="BB63" s="10"/>
      <c r="BC63" s="10"/>
      <c r="BD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52:73" ht="12.75">
      <c r="AZ64" s="10"/>
      <c r="BA64" s="10"/>
      <c r="BB64" s="10"/>
      <c r="BC64" s="10"/>
      <c r="BD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52:73" ht="12.75">
      <c r="AZ65" s="10"/>
      <c r="BA65" s="10"/>
      <c r="BB65" s="10"/>
      <c r="BC65" s="10"/>
      <c r="BD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52:73" ht="12.75">
      <c r="AZ66" s="10"/>
      <c r="BA66" s="10"/>
      <c r="BB66" s="10"/>
      <c r="BC66" s="10"/>
      <c r="BD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52:73" ht="12.75">
      <c r="AZ67" s="10"/>
      <c r="BA67" s="10"/>
      <c r="BB67" s="10"/>
      <c r="BC67" s="10"/>
      <c r="BD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52:73" ht="12.75">
      <c r="AZ68" s="10"/>
      <c r="BA68" s="10"/>
      <c r="BB68" s="10"/>
      <c r="BC68" s="10"/>
      <c r="BD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52:73" ht="12.75">
      <c r="AZ69" s="10"/>
      <c r="BA69" s="10"/>
      <c r="BB69" s="10"/>
      <c r="BC69" s="10"/>
      <c r="BD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52:73" ht="12.75">
      <c r="AZ70" s="10"/>
      <c r="BA70" s="10"/>
      <c r="BB70" s="10"/>
      <c r="BC70" s="10"/>
      <c r="BD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52:73" ht="12.75">
      <c r="AZ71" s="10"/>
      <c r="BA71" s="10"/>
      <c r="BB71" s="10"/>
      <c r="BC71" s="10"/>
      <c r="BD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52:73" ht="12.75">
      <c r="AZ72" s="10"/>
      <c r="BA72" s="10"/>
      <c r="BB72" s="10"/>
      <c r="BC72" s="10"/>
      <c r="BD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52:73" ht="12.75">
      <c r="AZ73" s="10"/>
      <c r="BA73" s="10"/>
      <c r="BB73" s="10"/>
      <c r="BC73" s="10"/>
      <c r="BD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</sheetData>
  <sheetProtection/>
  <mergeCells count="22">
    <mergeCell ref="AK3:AT3"/>
    <mergeCell ref="P3:T3"/>
    <mergeCell ref="G3:J3"/>
    <mergeCell ref="AE3:AI3"/>
    <mergeCell ref="X3:AD3"/>
    <mergeCell ref="K3:O3"/>
    <mergeCell ref="BC2:BC3"/>
    <mergeCell ref="AU2:AU4"/>
    <mergeCell ref="U3:U4"/>
    <mergeCell ref="AY2:AY4"/>
    <mergeCell ref="AW2:AW4"/>
    <mergeCell ref="AJ2:AJ4"/>
    <mergeCell ref="W2:W4"/>
    <mergeCell ref="AK2:AT2"/>
    <mergeCell ref="AV3:AV4"/>
    <mergeCell ref="AX2:AX4"/>
    <mergeCell ref="A2:A4"/>
    <mergeCell ref="C2:V2"/>
    <mergeCell ref="V3:V4"/>
    <mergeCell ref="X2:AI2"/>
    <mergeCell ref="C3:F3"/>
    <mergeCell ref="B2:B4"/>
  </mergeCells>
  <hyperlinks>
    <hyperlink ref="A38" r:id="rId1" display="http://socsfera.narod.ru/xls/307_2017.xls"/>
    <hyperlink ref="J38" r:id="rId2" display="1 кредит = 36 часам = 50 баллам"/>
  </hyperlink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МГУ им.М.В.Ломоносова</Company>
  <HyperlinkBase>http://socsfera.narod.ru/2005.html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Успеваемость группы</dc:title>
  <dc:subject/>
  <dc:creator>fox</dc:creator>
  <cp:keywords/>
  <dc:description/>
  <cp:lastModifiedBy>molchanov</cp:lastModifiedBy>
  <cp:lastPrinted>2017-01-23T14:13:44Z</cp:lastPrinted>
  <dcterms:created xsi:type="dcterms:W3CDTF">2004-02-26T10:23:20Z</dcterms:created>
  <dcterms:modified xsi:type="dcterms:W3CDTF">2017-01-23T14:59:54Z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